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17"/>
  <workbookPr/>
  <mc:AlternateContent xmlns:mc="http://schemas.openxmlformats.org/markup-compatibility/2006">
    <mc:Choice Requires="x15">
      <x15ac:absPath xmlns:x15ac="http://schemas.microsoft.com/office/spreadsheetml/2010/11/ac" url="https://d.docs.live.net/d00b6a25c24df85c/Documents/Socialflow/outputs/subscriptionos/"/>
    </mc:Choice>
  </mc:AlternateContent>
  <xr:revisionPtr revIDLastSave="5" documentId="11_D3DBD93328B6DE7CFF456E80CB11DF099A034E83" xr6:coauthVersionLast="47" xr6:coauthVersionMax="47" xr10:uidLastSave="{EC66505F-4DCF-43D7-BC95-60918F3BB3E6}"/>
  <bookViews>
    <workbookView xWindow="-108" yWindow="-108" windowWidth="23256" windowHeight="13176" xr2:uid="{00000000-000D-0000-FFFF-FFFF00000000}"/>
  </bookViews>
  <sheets>
    <sheet name="🏠 Dashboard" sheetId="1" r:id="rId1"/>
    <sheet name="📦 Subscriptions" sheetId="2" r:id="rId2"/>
    <sheet name="🔔 Renewals" sheetId="3" r:id="rId3"/>
    <sheet name="💡 Optimization" sheetId="4" r:id="rId4"/>
    <sheet name="📈 Analytics" sheetId="5" r:id="rId5"/>
    <sheet name="⚙️ Settings" sheetId="6" r:id="rId6"/>
    <sheet name="🗃️ Database" sheetId="7" state="hidden" r:id="rId7"/>
    <sheet name="📖 Guide" sheetId="8" r:id="rId8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2" i="1" l="1"/>
  <c r="D26" i="4"/>
  <c r="D27" i="4"/>
  <c r="D28" i="4"/>
  <c r="D29" i="4"/>
  <c r="E26" i="4"/>
  <c r="E27" i="4"/>
  <c r="E28" i="4"/>
  <c r="E29" i="4"/>
  <c r="C15" i="4"/>
  <c r="C16" i="4"/>
  <c r="C17" i="4"/>
  <c r="C18" i="4"/>
  <c r="C19" i="4"/>
  <c r="I29" i="4"/>
  <c r="H26" i="4"/>
  <c r="H27" i="4"/>
  <c r="H28" i="4"/>
  <c r="H29" i="4"/>
  <c r="J15" i="4"/>
  <c r="J16" i="4"/>
  <c r="J17" i="4"/>
  <c r="J18" i="4"/>
  <c r="J19" i="4"/>
  <c r="I15" i="4"/>
  <c r="I16" i="4"/>
  <c r="I17" i="4"/>
  <c r="I18" i="4"/>
  <c r="I19" i="4"/>
  <c r="H15" i="4"/>
  <c r="H16" i="4"/>
  <c r="H17" i="4"/>
  <c r="H18" i="4"/>
  <c r="H19" i="4"/>
  <c r="C26" i="4"/>
  <c r="C27" i="4"/>
  <c r="C28" i="4"/>
  <c r="C29" i="4"/>
  <c r="D15" i="4"/>
  <c r="D16" i="4"/>
  <c r="D17" i="4"/>
  <c r="D18" i="4"/>
  <c r="D19" i="4"/>
  <c r="X216" i="7"/>
  <c r="W216" i="7"/>
  <c r="V216" i="7"/>
  <c r="T216" i="7"/>
  <c r="S216" i="7"/>
  <c r="AA216" i="7" s="1"/>
  <c r="X215" i="7"/>
  <c r="W215" i="7"/>
  <c r="V215" i="7"/>
  <c r="T215" i="7"/>
  <c r="S215" i="7"/>
  <c r="AA215" i="7" s="1"/>
  <c r="AA214" i="7"/>
  <c r="X214" i="7"/>
  <c r="W214" i="7"/>
  <c r="V214" i="7"/>
  <c r="T214" i="7"/>
  <c r="S214" i="7"/>
  <c r="Z214" i="7" s="1"/>
  <c r="X213" i="7"/>
  <c r="W213" i="7"/>
  <c r="V213" i="7"/>
  <c r="T213" i="7"/>
  <c r="S213" i="7"/>
  <c r="AA213" i="7" s="1"/>
  <c r="AA212" i="7"/>
  <c r="Z212" i="7"/>
  <c r="X212" i="7"/>
  <c r="W212" i="7"/>
  <c r="V212" i="7"/>
  <c r="T212" i="7"/>
  <c r="S212" i="7"/>
  <c r="X211" i="7"/>
  <c r="AA211" i="7" s="1"/>
  <c r="W211" i="7"/>
  <c r="Z211" i="7" s="1"/>
  <c r="V211" i="7"/>
  <c r="T211" i="7"/>
  <c r="S211" i="7"/>
  <c r="AA210" i="7"/>
  <c r="X210" i="7"/>
  <c r="W210" i="7"/>
  <c r="V210" i="7"/>
  <c r="Z210" i="7" s="1"/>
  <c r="T210" i="7"/>
  <c r="S210" i="7"/>
  <c r="X209" i="7"/>
  <c r="W209" i="7"/>
  <c r="V209" i="7"/>
  <c r="T209" i="7"/>
  <c r="S209" i="7"/>
  <c r="AA208" i="7"/>
  <c r="X208" i="7"/>
  <c r="W208" i="7"/>
  <c r="V208" i="7"/>
  <c r="T208" i="7"/>
  <c r="S208" i="7"/>
  <c r="X207" i="7"/>
  <c r="AA207" i="7" s="1"/>
  <c r="W207" i="7"/>
  <c r="Z207" i="7" s="1"/>
  <c r="V207" i="7"/>
  <c r="T207" i="7"/>
  <c r="S207" i="7"/>
  <c r="AA206" i="7"/>
  <c r="Z206" i="7"/>
  <c r="X206" i="7"/>
  <c r="W206" i="7"/>
  <c r="V206" i="7"/>
  <c r="T206" i="7"/>
  <c r="S206" i="7"/>
  <c r="X205" i="7"/>
  <c r="W205" i="7"/>
  <c r="V205" i="7"/>
  <c r="T205" i="7"/>
  <c r="S205" i="7"/>
  <c r="AA204" i="7"/>
  <c r="Z204" i="7"/>
  <c r="X204" i="7"/>
  <c r="W204" i="7"/>
  <c r="V204" i="7"/>
  <c r="T204" i="7"/>
  <c r="S204" i="7"/>
  <c r="Z203" i="7"/>
  <c r="X203" i="7"/>
  <c r="AA203" i="7" s="1"/>
  <c r="W203" i="7"/>
  <c r="V203" i="7"/>
  <c r="T203" i="7"/>
  <c r="S203" i="7"/>
  <c r="AA202" i="7"/>
  <c r="X202" i="7"/>
  <c r="W202" i="7"/>
  <c r="V202" i="7"/>
  <c r="Z202" i="7" s="1"/>
  <c r="T202" i="7"/>
  <c r="S202" i="7"/>
  <c r="X201" i="7"/>
  <c r="W201" i="7"/>
  <c r="V201" i="7"/>
  <c r="T201" i="7"/>
  <c r="S201" i="7"/>
  <c r="AA200" i="7"/>
  <c r="X200" i="7"/>
  <c r="W200" i="7"/>
  <c r="V200" i="7"/>
  <c r="T200" i="7"/>
  <c r="S200" i="7"/>
  <c r="AA199" i="7"/>
  <c r="Z199" i="7"/>
  <c r="X199" i="7"/>
  <c r="W199" i="7"/>
  <c r="V199" i="7"/>
  <c r="T199" i="7"/>
  <c r="S199" i="7"/>
  <c r="X198" i="7"/>
  <c r="AA198" i="7" s="1"/>
  <c r="W198" i="7"/>
  <c r="V198" i="7"/>
  <c r="Z198" i="7" s="1"/>
  <c r="T198" i="7"/>
  <c r="S198" i="7"/>
  <c r="X197" i="7"/>
  <c r="W197" i="7"/>
  <c r="V197" i="7"/>
  <c r="T197" i="7"/>
  <c r="S197" i="7"/>
  <c r="Z196" i="7"/>
  <c r="X196" i="7"/>
  <c r="W196" i="7"/>
  <c r="V196" i="7"/>
  <c r="T196" i="7"/>
  <c r="S196" i="7"/>
  <c r="AA196" i="7" s="1"/>
  <c r="AA195" i="7"/>
  <c r="X195" i="7"/>
  <c r="W195" i="7"/>
  <c r="Z195" i="7" s="1"/>
  <c r="V195" i="7"/>
  <c r="T195" i="7"/>
  <c r="S195" i="7"/>
  <c r="X194" i="7"/>
  <c r="AA194" i="7" s="1"/>
  <c r="W194" i="7"/>
  <c r="Z194" i="7" s="1"/>
  <c r="V194" i="7"/>
  <c r="T194" i="7"/>
  <c r="S194" i="7"/>
  <c r="X193" i="7"/>
  <c r="W193" i="7"/>
  <c r="V193" i="7"/>
  <c r="T193" i="7"/>
  <c r="S193" i="7"/>
  <c r="X192" i="7"/>
  <c r="W192" i="7"/>
  <c r="V192" i="7"/>
  <c r="T192" i="7"/>
  <c r="S192" i="7"/>
  <c r="AA191" i="7"/>
  <c r="X191" i="7"/>
  <c r="W191" i="7"/>
  <c r="Z191" i="7" s="1"/>
  <c r="V191" i="7"/>
  <c r="T191" i="7"/>
  <c r="S191" i="7"/>
  <c r="X190" i="7"/>
  <c r="AA190" i="7" s="1"/>
  <c r="W190" i="7"/>
  <c r="Z190" i="7" s="1"/>
  <c r="V190" i="7"/>
  <c r="T190" i="7"/>
  <c r="S190" i="7"/>
  <c r="X189" i="7"/>
  <c r="W189" i="7"/>
  <c r="V189" i="7"/>
  <c r="T189" i="7"/>
  <c r="S189" i="7"/>
  <c r="AA188" i="7"/>
  <c r="Z188" i="7"/>
  <c r="X188" i="7"/>
  <c r="W188" i="7"/>
  <c r="V188" i="7"/>
  <c r="T188" i="7"/>
  <c r="S188" i="7"/>
  <c r="X187" i="7"/>
  <c r="AA187" i="7" s="1"/>
  <c r="W187" i="7"/>
  <c r="Z187" i="7" s="1"/>
  <c r="V187" i="7"/>
  <c r="T187" i="7"/>
  <c r="S187" i="7"/>
  <c r="X186" i="7"/>
  <c r="AA186" i="7" s="1"/>
  <c r="W186" i="7"/>
  <c r="Z186" i="7" s="1"/>
  <c r="V186" i="7"/>
  <c r="T186" i="7"/>
  <c r="S186" i="7"/>
  <c r="X185" i="7"/>
  <c r="W185" i="7"/>
  <c r="V185" i="7"/>
  <c r="T185" i="7"/>
  <c r="S185" i="7"/>
  <c r="AA184" i="7"/>
  <c r="Z184" i="7"/>
  <c r="X184" i="7"/>
  <c r="W184" i="7"/>
  <c r="V184" i="7"/>
  <c r="T184" i="7"/>
  <c r="S184" i="7"/>
  <c r="X183" i="7"/>
  <c r="AA183" i="7" s="1"/>
  <c r="W183" i="7"/>
  <c r="Z183" i="7" s="1"/>
  <c r="V183" i="7"/>
  <c r="T183" i="7"/>
  <c r="S183" i="7"/>
  <c r="AA182" i="7"/>
  <c r="Z182" i="7"/>
  <c r="X182" i="7"/>
  <c r="W182" i="7"/>
  <c r="V182" i="7"/>
  <c r="T182" i="7"/>
  <c r="S182" i="7"/>
  <c r="X181" i="7"/>
  <c r="W181" i="7"/>
  <c r="V181" i="7"/>
  <c r="T181" i="7"/>
  <c r="S181" i="7"/>
  <c r="Z180" i="7"/>
  <c r="X180" i="7"/>
  <c r="W180" i="7"/>
  <c r="V180" i="7"/>
  <c r="T180" i="7"/>
  <c r="S180" i="7"/>
  <c r="AA179" i="7"/>
  <c r="Z179" i="7"/>
  <c r="X179" i="7"/>
  <c r="W179" i="7"/>
  <c r="V179" i="7"/>
  <c r="T179" i="7"/>
  <c r="S179" i="7"/>
  <c r="AA178" i="7"/>
  <c r="X178" i="7"/>
  <c r="W178" i="7"/>
  <c r="V178" i="7"/>
  <c r="Z178" i="7" s="1"/>
  <c r="T178" i="7"/>
  <c r="S178" i="7"/>
  <c r="X177" i="7"/>
  <c r="W177" i="7"/>
  <c r="V177" i="7"/>
  <c r="T177" i="7"/>
  <c r="S177" i="7"/>
  <c r="AA176" i="7"/>
  <c r="Z176" i="7"/>
  <c r="X176" i="7"/>
  <c r="W176" i="7"/>
  <c r="V176" i="7"/>
  <c r="T176" i="7"/>
  <c r="S176" i="7"/>
  <c r="Z175" i="7"/>
  <c r="X175" i="7"/>
  <c r="AA175" i="7" s="1"/>
  <c r="W175" i="7"/>
  <c r="V175" i="7"/>
  <c r="T175" i="7"/>
  <c r="S175" i="7"/>
  <c r="AA174" i="7"/>
  <c r="X174" i="7"/>
  <c r="W174" i="7"/>
  <c r="V174" i="7"/>
  <c r="Z174" i="7" s="1"/>
  <c r="T174" i="7"/>
  <c r="S174" i="7"/>
  <c r="X173" i="7"/>
  <c r="W173" i="7"/>
  <c r="V173" i="7"/>
  <c r="T173" i="7"/>
  <c r="S173" i="7"/>
  <c r="X172" i="7"/>
  <c r="W172" i="7"/>
  <c r="V172" i="7"/>
  <c r="T172" i="7"/>
  <c r="S172" i="7"/>
  <c r="AA171" i="7"/>
  <c r="Z171" i="7"/>
  <c r="X171" i="7"/>
  <c r="W171" i="7"/>
  <c r="V171" i="7"/>
  <c r="T171" i="7"/>
  <c r="S171" i="7"/>
  <c r="X170" i="7"/>
  <c r="AA170" i="7" s="1"/>
  <c r="W170" i="7"/>
  <c r="V170" i="7"/>
  <c r="Z170" i="7" s="1"/>
  <c r="T170" i="7"/>
  <c r="S170" i="7"/>
  <c r="X169" i="7"/>
  <c r="W169" i="7"/>
  <c r="V169" i="7"/>
  <c r="T169" i="7"/>
  <c r="S169" i="7"/>
  <c r="AA168" i="7"/>
  <c r="Z168" i="7"/>
  <c r="X168" i="7"/>
  <c r="W168" i="7"/>
  <c r="V168" i="7"/>
  <c r="T168" i="7"/>
  <c r="S168" i="7"/>
  <c r="X167" i="7"/>
  <c r="AA167" i="7" s="1"/>
  <c r="W167" i="7"/>
  <c r="Z167" i="7" s="1"/>
  <c r="V167" i="7"/>
  <c r="T167" i="7"/>
  <c r="S167" i="7"/>
  <c r="X166" i="7"/>
  <c r="AA166" i="7" s="1"/>
  <c r="W166" i="7"/>
  <c r="V166" i="7"/>
  <c r="Z166" i="7" s="1"/>
  <c r="T166" i="7"/>
  <c r="S166" i="7"/>
  <c r="X165" i="7"/>
  <c r="W165" i="7"/>
  <c r="V165" i="7"/>
  <c r="T165" i="7"/>
  <c r="S165" i="7"/>
  <c r="AA164" i="7"/>
  <c r="X164" i="7"/>
  <c r="W164" i="7"/>
  <c r="V164" i="7"/>
  <c r="T164" i="7"/>
  <c r="S164" i="7"/>
  <c r="X163" i="7"/>
  <c r="AA163" i="7" s="1"/>
  <c r="W163" i="7"/>
  <c r="Z163" i="7" s="1"/>
  <c r="V163" i="7"/>
  <c r="T163" i="7"/>
  <c r="S163" i="7"/>
  <c r="AA162" i="7"/>
  <c r="Z162" i="7"/>
  <c r="X162" i="7"/>
  <c r="W162" i="7"/>
  <c r="V162" i="7"/>
  <c r="T162" i="7"/>
  <c r="S162" i="7"/>
  <c r="X161" i="7"/>
  <c r="W161" i="7"/>
  <c r="V161" i="7"/>
  <c r="T161" i="7"/>
  <c r="S161" i="7"/>
  <c r="X160" i="7"/>
  <c r="W160" i="7"/>
  <c r="V160" i="7"/>
  <c r="T160" i="7"/>
  <c r="S160" i="7"/>
  <c r="AA160" i="7" s="1"/>
  <c r="Z159" i="7"/>
  <c r="X159" i="7"/>
  <c r="AA159" i="7" s="1"/>
  <c r="W159" i="7"/>
  <c r="V159" i="7"/>
  <c r="T159" i="7"/>
  <c r="S159" i="7"/>
  <c r="Z158" i="7"/>
  <c r="X158" i="7"/>
  <c r="AA158" i="7" s="1"/>
  <c r="W158" i="7"/>
  <c r="V158" i="7"/>
  <c r="T158" i="7"/>
  <c r="S158" i="7"/>
  <c r="X157" i="7"/>
  <c r="W157" i="7"/>
  <c r="V157" i="7"/>
  <c r="T157" i="7"/>
  <c r="S157" i="7"/>
  <c r="AA156" i="7"/>
  <c r="X156" i="7"/>
  <c r="W156" i="7"/>
  <c r="V156" i="7"/>
  <c r="T156" i="7"/>
  <c r="S156" i="7"/>
  <c r="Z156" i="7" s="1"/>
  <c r="X155" i="7"/>
  <c r="AA155" i="7" s="1"/>
  <c r="W155" i="7"/>
  <c r="Z155" i="7" s="1"/>
  <c r="V155" i="7"/>
  <c r="T155" i="7"/>
  <c r="S155" i="7"/>
  <c r="AA154" i="7"/>
  <c r="X154" i="7"/>
  <c r="W154" i="7"/>
  <c r="V154" i="7"/>
  <c r="Z154" i="7" s="1"/>
  <c r="T154" i="7"/>
  <c r="S154" i="7"/>
  <c r="X153" i="7"/>
  <c r="W153" i="7"/>
  <c r="V153" i="7"/>
  <c r="T153" i="7"/>
  <c r="S153" i="7"/>
  <c r="AA152" i="7"/>
  <c r="X152" i="7"/>
  <c r="W152" i="7"/>
  <c r="V152" i="7"/>
  <c r="T152" i="7"/>
  <c r="S152" i="7"/>
  <c r="AA151" i="7"/>
  <c r="Z151" i="7"/>
  <c r="X151" i="7"/>
  <c r="W151" i="7"/>
  <c r="V151" i="7"/>
  <c r="T151" i="7"/>
  <c r="S151" i="7"/>
  <c r="X150" i="7"/>
  <c r="AA150" i="7" s="1"/>
  <c r="W150" i="7"/>
  <c r="V150" i="7"/>
  <c r="Z150" i="7" s="1"/>
  <c r="T150" i="7"/>
  <c r="S150" i="7"/>
  <c r="X149" i="7"/>
  <c r="W149" i="7"/>
  <c r="V149" i="7"/>
  <c r="T149" i="7"/>
  <c r="S149" i="7"/>
  <c r="Z148" i="7"/>
  <c r="X148" i="7"/>
  <c r="W148" i="7"/>
  <c r="V148" i="7"/>
  <c r="T148" i="7"/>
  <c r="S148" i="7"/>
  <c r="AA148" i="7" s="1"/>
  <c r="AA147" i="7"/>
  <c r="X147" i="7"/>
  <c r="W147" i="7"/>
  <c r="Z147" i="7" s="1"/>
  <c r="V147" i="7"/>
  <c r="T147" i="7"/>
  <c r="S147" i="7"/>
  <c r="X146" i="7"/>
  <c r="AA146" i="7" s="1"/>
  <c r="W146" i="7"/>
  <c r="Z146" i="7" s="1"/>
  <c r="V146" i="7"/>
  <c r="T146" i="7"/>
  <c r="S146" i="7"/>
  <c r="X145" i="7"/>
  <c r="W145" i="7"/>
  <c r="V145" i="7"/>
  <c r="T145" i="7"/>
  <c r="S145" i="7"/>
  <c r="X144" i="7"/>
  <c r="W144" i="7"/>
  <c r="V144" i="7"/>
  <c r="T144" i="7"/>
  <c r="S144" i="7"/>
  <c r="AA143" i="7"/>
  <c r="X143" i="7"/>
  <c r="W143" i="7"/>
  <c r="Z143" i="7" s="1"/>
  <c r="V143" i="7"/>
  <c r="T143" i="7"/>
  <c r="S143" i="7"/>
  <c r="Z142" i="7"/>
  <c r="X142" i="7"/>
  <c r="AA142" i="7" s="1"/>
  <c r="W142" i="7"/>
  <c r="V142" i="7"/>
  <c r="T142" i="7"/>
  <c r="S142" i="7"/>
  <c r="X141" i="7"/>
  <c r="W141" i="7"/>
  <c r="V141" i="7"/>
  <c r="T141" i="7"/>
  <c r="S141" i="7"/>
  <c r="AA140" i="7"/>
  <c r="Z140" i="7"/>
  <c r="X140" i="7"/>
  <c r="W140" i="7"/>
  <c r="V140" i="7"/>
  <c r="T140" i="7"/>
  <c r="S140" i="7"/>
  <c r="X139" i="7"/>
  <c r="AA139" i="7" s="1"/>
  <c r="W139" i="7"/>
  <c r="Z139" i="7" s="1"/>
  <c r="V139" i="7"/>
  <c r="T139" i="7"/>
  <c r="S139" i="7"/>
  <c r="X138" i="7"/>
  <c r="AA138" i="7" s="1"/>
  <c r="W138" i="7"/>
  <c r="Z138" i="7" s="1"/>
  <c r="V138" i="7"/>
  <c r="T138" i="7"/>
  <c r="S138" i="7"/>
  <c r="X137" i="7"/>
  <c r="W137" i="7"/>
  <c r="V137" i="7"/>
  <c r="T137" i="7"/>
  <c r="S137" i="7"/>
  <c r="AA136" i="7"/>
  <c r="Z136" i="7"/>
  <c r="X136" i="7"/>
  <c r="W136" i="7"/>
  <c r="V136" i="7"/>
  <c r="T136" i="7"/>
  <c r="S136" i="7"/>
  <c r="AA135" i="7"/>
  <c r="X135" i="7"/>
  <c r="W135" i="7"/>
  <c r="Z135" i="7" s="1"/>
  <c r="V135" i="7"/>
  <c r="T135" i="7"/>
  <c r="S135" i="7"/>
  <c r="AA134" i="7"/>
  <c r="Z134" i="7"/>
  <c r="X134" i="7"/>
  <c r="W134" i="7"/>
  <c r="V134" i="7"/>
  <c r="T134" i="7"/>
  <c r="S134" i="7"/>
  <c r="X133" i="7"/>
  <c r="W133" i="7"/>
  <c r="V133" i="7"/>
  <c r="T133" i="7"/>
  <c r="S133" i="7"/>
  <c r="Z132" i="7"/>
  <c r="X132" i="7"/>
  <c r="W132" i="7"/>
  <c r="V132" i="7"/>
  <c r="T132" i="7"/>
  <c r="S132" i="7"/>
  <c r="AA131" i="7"/>
  <c r="Z131" i="7"/>
  <c r="X131" i="7"/>
  <c r="W131" i="7"/>
  <c r="V131" i="7"/>
  <c r="T131" i="7"/>
  <c r="S131" i="7"/>
  <c r="AA130" i="7"/>
  <c r="X130" i="7"/>
  <c r="W130" i="7"/>
  <c r="V130" i="7"/>
  <c r="Z130" i="7" s="1"/>
  <c r="T130" i="7"/>
  <c r="S130" i="7"/>
  <c r="X129" i="7"/>
  <c r="W129" i="7"/>
  <c r="V129" i="7"/>
  <c r="T129" i="7"/>
  <c r="S129" i="7"/>
  <c r="AA128" i="7"/>
  <c r="Z128" i="7"/>
  <c r="X128" i="7"/>
  <c r="W128" i="7"/>
  <c r="V128" i="7"/>
  <c r="T128" i="7"/>
  <c r="S128" i="7"/>
  <c r="Z127" i="7"/>
  <c r="X127" i="7"/>
  <c r="AA127" i="7" s="1"/>
  <c r="W127" i="7"/>
  <c r="V127" i="7"/>
  <c r="T127" i="7"/>
  <c r="S127" i="7"/>
  <c r="AA126" i="7"/>
  <c r="X126" i="7"/>
  <c r="W126" i="7"/>
  <c r="V126" i="7"/>
  <c r="Z126" i="7" s="1"/>
  <c r="T126" i="7"/>
  <c r="S126" i="7"/>
  <c r="X125" i="7"/>
  <c r="W125" i="7"/>
  <c r="V125" i="7"/>
  <c r="T125" i="7"/>
  <c r="S125" i="7"/>
  <c r="X124" i="7"/>
  <c r="W124" i="7"/>
  <c r="V124" i="7"/>
  <c r="T124" i="7"/>
  <c r="S124" i="7"/>
  <c r="AA123" i="7"/>
  <c r="Z123" i="7"/>
  <c r="X123" i="7"/>
  <c r="W123" i="7"/>
  <c r="V123" i="7"/>
  <c r="T123" i="7"/>
  <c r="S123" i="7"/>
  <c r="X122" i="7"/>
  <c r="AA122" i="7" s="1"/>
  <c r="W122" i="7"/>
  <c r="Z122" i="7" s="1"/>
  <c r="V122" i="7"/>
  <c r="T122" i="7"/>
  <c r="S122" i="7"/>
  <c r="X121" i="7"/>
  <c r="W121" i="7"/>
  <c r="V121" i="7"/>
  <c r="T121" i="7"/>
  <c r="S121" i="7"/>
  <c r="AA120" i="7"/>
  <c r="Z120" i="7"/>
  <c r="X120" i="7"/>
  <c r="W120" i="7"/>
  <c r="V120" i="7"/>
  <c r="T120" i="7"/>
  <c r="S120" i="7"/>
  <c r="X119" i="7"/>
  <c r="AA119" i="7" s="1"/>
  <c r="W119" i="7"/>
  <c r="Z119" i="7" s="1"/>
  <c r="V119" i="7"/>
  <c r="T119" i="7"/>
  <c r="S119" i="7"/>
  <c r="AA118" i="7"/>
  <c r="X118" i="7"/>
  <c r="W118" i="7"/>
  <c r="V118" i="7"/>
  <c r="Z118" i="7" s="1"/>
  <c r="T118" i="7"/>
  <c r="S118" i="7"/>
  <c r="Z117" i="7"/>
  <c r="X117" i="7"/>
  <c r="W117" i="7"/>
  <c r="V117" i="7"/>
  <c r="T117" i="7"/>
  <c r="S117" i="7"/>
  <c r="AA116" i="7"/>
  <c r="Z116" i="7"/>
  <c r="X116" i="7"/>
  <c r="W116" i="7"/>
  <c r="V116" i="7"/>
  <c r="T116" i="7"/>
  <c r="S116" i="7"/>
  <c r="AA115" i="7"/>
  <c r="X115" i="7"/>
  <c r="W115" i="7"/>
  <c r="Z115" i="7" s="1"/>
  <c r="V115" i="7"/>
  <c r="T115" i="7"/>
  <c r="S115" i="7"/>
  <c r="AA114" i="7"/>
  <c r="Z114" i="7"/>
  <c r="X114" i="7"/>
  <c r="W114" i="7"/>
  <c r="V114" i="7"/>
  <c r="T114" i="7"/>
  <c r="S114" i="7"/>
  <c r="X113" i="7"/>
  <c r="W113" i="7"/>
  <c r="V113" i="7"/>
  <c r="Z113" i="7" s="1"/>
  <c r="T113" i="7"/>
  <c r="S113" i="7"/>
  <c r="X112" i="7"/>
  <c r="W112" i="7"/>
  <c r="V112" i="7"/>
  <c r="T112" i="7"/>
  <c r="S112" i="7"/>
  <c r="AA111" i="7"/>
  <c r="Z111" i="7"/>
  <c r="X111" i="7"/>
  <c r="W111" i="7"/>
  <c r="V111" i="7"/>
  <c r="T111" i="7"/>
  <c r="Y111" i="7" s="1"/>
  <c r="S111" i="7"/>
  <c r="X110" i="7"/>
  <c r="AA110" i="7" s="1"/>
  <c r="W110" i="7"/>
  <c r="V110" i="7"/>
  <c r="Z110" i="7" s="1"/>
  <c r="T110" i="7"/>
  <c r="S110" i="7"/>
  <c r="X109" i="7"/>
  <c r="W109" i="7"/>
  <c r="V109" i="7"/>
  <c r="T109" i="7"/>
  <c r="S109" i="7"/>
  <c r="AA108" i="7"/>
  <c r="Z108" i="7"/>
  <c r="X108" i="7"/>
  <c r="W108" i="7"/>
  <c r="V108" i="7"/>
  <c r="T108" i="7"/>
  <c r="S108" i="7"/>
  <c r="X107" i="7"/>
  <c r="AA107" i="7" s="1"/>
  <c r="W107" i="7"/>
  <c r="Z107" i="7" s="1"/>
  <c r="V107" i="7"/>
  <c r="T107" i="7"/>
  <c r="S107" i="7"/>
  <c r="AA106" i="7"/>
  <c r="X106" i="7"/>
  <c r="W106" i="7"/>
  <c r="V106" i="7"/>
  <c r="Z106" i="7" s="1"/>
  <c r="T106" i="7"/>
  <c r="S106" i="7"/>
  <c r="Z105" i="7"/>
  <c r="X105" i="7"/>
  <c r="W105" i="7"/>
  <c r="V105" i="7"/>
  <c r="T105" i="7"/>
  <c r="S105" i="7"/>
  <c r="AA104" i="7"/>
  <c r="Z104" i="7"/>
  <c r="X104" i="7"/>
  <c r="W104" i="7"/>
  <c r="V104" i="7"/>
  <c r="T104" i="7"/>
  <c r="S104" i="7"/>
  <c r="AA103" i="7"/>
  <c r="X103" i="7"/>
  <c r="W103" i="7"/>
  <c r="Z103" i="7" s="1"/>
  <c r="V103" i="7"/>
  <c r="T103" i="7"/>
  <c r="S103" i="7"/>
  <c r="AA102" i="7"/>
  <c r="Z102" i="7"/>
  <c r="X102" i="7"/>
  <c r="W102" i="7"/>
  <c r="V102" i="7"/>
  <c r="T102" i="7"/>
  <c r="S102" i="7"/>
  <c r="X101" i="7"/>
  <c r="W101" i="7"/>
  <c r="V101" i="7"/>
  <c r="Z101" i="7" s="1"/>
  <c r="T101" i="7"/>
  <c r="S101" i="7"/>
  <c r="X100" i="7"/>
  <c r="W100" i="7"/>
  <c r="V100" i="7"/>
  <c r="T100" i="7"/>
  <c r="S100" i="7"/>
  <c r="AA99" i="7"/>
  <c r="Z99" i="7"/>
  <c r="X99" i="7"/>
  <c r="W99" i="7"/>
  <c r="V99" i="7"/>
  <c r="T99" i="7"/>
  <c r="Y99" i="7" s="1"/>
  <c r="S99" i="7"/>
  <c r="X98" i="7"/>
  <c r="AA98" i="7" s="1"/>
  <c r="W98" i="7"/>
  <c r="V98" i="7"/>
  <c r="Z98" i="7" s="1"/>
  <c r="T98" i="7"/>
  <c r="S98" i="7"/>
  <c r="X97" i="7"/>
  <c r="W97" i="7"/>
  <c r="V97" i="7"/>
  <c r="T97" i="7"/>
  <c r="S97" i="7"/>
  <c r="AA96" i="7"/>
  <c r="Z96" i="7"/>
  <c r="X96" i="7"/>
  <c r="W96" i="7"/>
  <c r="V96" i="7"/>
  <c r="T96" i="7"/>
  <c r="S96" i="7"/>
  <c r="X95" i="7"/>
  <c r="AA95" i="7" s="1"/>
  <c r="W95" i="7"/>
  <c r="Z95" i="7" s="1"/>
  <c r="V95" i="7"/>
  <c r="T95" i="7"/>
  <c r="S95" i="7"/>
  <c r="AA94" i="7"/>
  <c r="X94" i="7"/>
  <c r="W94" i="7"/>
  <c r="V94" i="7"/>
  <c r="Z94" i="7" s="1"/>
  <c r="T94" i="7"/>
  <c r="S94" i="7"/>
  <c r="Z93" i="7"/>
  <c r="X93" i="7"/>
  <c r="W93" i="7"/>
  <c r="V93" i="7"/>
  <c r="T93" i="7"/>
  <c r="S93" i="7"/>
  <c r="AA92" i="7"/>
  <c r="X92" i="7"/>
  <c r="W92" i="7"/>
  <c r="Z92" i="7" s="1"/>
  <c r="V92" i="7"/>
  <c r="T92" i="7"/>
  <c r="S92" i="7"/>
  <c r="AA91" i="7"/>
  <c r="X91" i="7"/>
  <c r="W91" i="7"/>
  <c r="Z91" i="7" s="1"/>
  <c r="V91" i="7"/>
  <c r="T91" i="7"/>
  <c r="Y91" i="7" s="1"/>
  <c r="S91" i="7"/>
  <c r="AA90" i="7"/>
  <c r="Z90" i="7"/>
  <c r="X90" i="7"/>
  <c r="W90" i="7"/>
  <c r="V90" i="7"/>
  <c r="T90" i="7"/>
  <c r="S90" i="7"/>
  <c r="X89" i="7"/>
  <c r="W89" i="7"/>
  <c r="V89" i="7"/>
  <c r="Z89" i="7" s="1"/>
  <c r="T89" i="7"/>
  <c r="S89" i="7"/>
  <c r="X88" i="7"/>
  <c r="W88" i="7"/>
  <c r="V88" i="7"/>
  <c r="T88" i="7"/>
  <c r="S88" i="7"/>
  <c r="AA87" i="7"/>
  <c r="Z87" i="7"/>
  <c r="X87" i="7"/>
  <c r="W87" i="7"/>
  <c r="V87" i="7"/>
  <c r="T87" i="7"/>
  <c r="Y87" i="7" s="1"/>
  <c r="S87" i="7"/>
  <c r="X86" i="7"/>
  <c r="AA86" i="7" s="1"/>
  <c r="W86" i="7"/>
  <c r="V86" i="7"/>
  <c r="Z86" i="7" s="1"/>
  <c r="T86" i="7"/>
  <c r="S86" i="7"/>
  <c r="X85" i="7"/>
  <c r="W85" i="7"/>
  <c r="V85" i="7"/>
  <c r="T85" i="7"/>
  <c r="S85" i="7"/>
  <c r="AA84" i="7"/>
  <c r="Z84" i="7"/>
  <c r="X84" i="7"/>
  <c r="W84" i="7"/>
  <c r="V84" i="7"/>
  <c r="T84" i="7"/>
  <c r="S84" i="7"/>
  <c r="X83" i="7"/>
  <c r="AA83" i="7" s="1"/>
  <c r="W83" i="7"/>
  <c r="Z83" i="7" s="1"/>
  <c r="V83" i="7"/>
  <c r="T83" i="7"/>
  <c r="S83" i="7"/>
  <c r="AA82" i="7"/>
  <c r="X82" i="7"/>
  <c r="W82" i="7"/>
  <c r="V82" i="7"/>
  <c r="Z82" i="7" s="1"/>
  <c r="T82" i="7"/>
  <c r="S82" i="7"/>
  <c r="Z81" i="7"/>
  <c r="X81" i="7"/>
  <c r="W81" i="7"/>
  <c r="V81" i="7"/>
  <c r="T81" i="7"/>
  <c r="S81" i="7"/>
  <c r="AA81" i="7" s="1"/>
  <c r="AA80" i="7"/>
  <c r="X80" i="7"/>
  <c r="W80" i="7"/>
  <c r="V80" i="7"/>
  <c r="Z80" i="7" s="1"/>
  <c r="T80" i="7"/>
  <c r="S80" i="7"/>
  <c r="X79" i="7"/>
  <c r="W79" i="7"/>
  <c r="V79" i="7"/>
  <c r="T79" i="7"/>
  <c r="S79" i="7"/>
  <c r="AA79" i="7" s="1"/>
  <c r="AA78" i="7"/>
  <c r="X78" i="7"/>
  <c r="W78" i="7"/>
  <c r="V78" i="7"/>
  <c r="Z78" i="7" s="1"/>
  <c r="T78" i="7"/>
  <c r="S78" i="7"/>
  <c r="X77" i="7"/>
  <c r="W77" i="7"/>
  <c r="Z77" i="7" s="1"/>
  <c r="V77" i="7"/>
  <c r="T77" i="7"/>
  <c r="S77" i="7"/>
  <c r="X76" i="7"/>
  <c r="W76" i="7"/>
  <c r="V76" i="7"/>
  <c r="T76" i="7"/>
  <c r="S76" i="7"/>
  <c r="X75" i="7"/>
  <c r="W75" i="7"/>
  <c r="V75" i="7"/>
  <c r="T75" i="7"/>
  <c r="S75" i="7"/>
  <c r="Z75" i="7" s="1"/>
  <c r="Z74" i="7"/>
  <c r="X74" i="7"/>
  <c r="AA74" i="7" s="1"/>
  <c r="W74" i="7"/>
  <c r="V74" i="7"/>
  <c r="T74" i="7"/>
  <c r="S74" i="7"/>
  <c r="X73" i="7"/>
  <c r="W73" i="7"/>
  <c r="V73" i="7"/>
  <c r="Z73" i="7" s="1"/>
  <c r="T73" i="7"/>
  <c r="S73" i="7"/>
  <c r="X72" i="7"/>
  <c r="W72" i="7"/>
  <c r="V72" i="7"/>
  <c r="T72" i="7"/>
  <c r="S72" i="7"/>
  <c r="AA71" i="7"/>
  <c r="Z71" i="7"/>
  <c r="X71" i="7"/>
  <c r="W71" i="7"/>
  <c r="V71" i="7"/>
  <c r="T71" i="7"/>
  <c r="S71" i="7"/>
  <c r="X70" i="7"/>
  <c r="AA70" i="7" s="1"/>
  <c r="W70" i="7"/>
  <c r="V70" i="7"/>
  <c r="Z70" i="7" s="1"/>
  <c r="T70" i="7"/>
  <c r="S70" i="7"/>
  <c r="X69" i="7"/>
  <c r="W69" i="7"/>
  <c r="V69" i="7"/>
  <c r="T69" i="7"/>
  <c r="S69" i="7"/>
  <c r="AA69" i="7" s="1"/>
  <c r="AA68" i="7"/>
  <c r="Z68" i="7"/>
  <c r="X68" i="7"/>
  <c r="W68" i="7"/>
  <c r="V68" i="7"/>
  <c r="T68" i="7"/>
  <c r="S68" i="7"/>
  <c r="X67" i="7"/>
  <c r="AA67" i="7" s="1"/>
  <c r="W67" i="7"/>
  <c r="Z67" i="7" s="1"/>
  <c r="V67" i="7"/>
  <c r="T67" i="7"/>
  <c r="S67" i="7"/>
  <c r="AA66" i="7"/>
  <c r="X66" i="7"/>
  <c r="W66" i="7"/>
  <c r="V66" i="7"/>
  <c r="Z66" i="7" s="1"/>
  <c r="T66" i="7"/>
  <c r="S66" i="7"/>
  <c r="Z65" i="7"/>
  <c r="X65" i="7"/>
  <c r="W65" i="7"/>
  <c r="V65" i="7"/>
  <c r="T65" i="7"/>
  <c r="S65" i="7"/>
  <c r="AA65" i="7" s="1"/>
  <c r="AA64" i="7"/>
  <c r="X64" i="7"/>
  <c r="W64" i="7"/>
  <c r="V64" i="7"/>
  <c r="Z64" i="7" s="1"/>
  <c r="T64" i="7"/>
  <c r="S64" i="7"/>
  <c r="X63" i="7"/>
  <c r="W63" i="7"/>
  <c r="V63" i="7"/>
  <c r="T63" i="7"/>
  <c r="S63" i="7"/>
  <c r="AA63" i="7" s="1"/>
  <c r="AA62" i="7"/>
  <c r="X62" i="7"/>
  <c r="W62" i="7"/>
  <c r="V62" i="7"/>
  <c r="Z62" i="7" s="1"/>
  <c r="T62" i="7"/>
  <c r="S62" i="7"/>
  <c r="X61" i="7"/>
  <c r="W61" i="7"/>
  <c r="Z61" i="7" s="1"/>
  <c r="V61" i="7"/>
  <c r="T61" i="7"/>
  <c r="S61" i="7"/>
  <c r="X60" i="7"/>
  <c r="W60" i="7"/>
  <c r="V60" i="7"/>
  <c r="T60" i="7"/>
  <c r="S60" i="7"/>
  <c r="X59" i="7"/>
  <c r="W59" i="7"/>
  <c r="V59" i="7"/>
  <c r="T59" i="7"/>
  <c r="S59" i="7"/>
  <c r="Z59" i="7" s="1"/>
  <c r="Z58" i="7"/>
  <c r="X58" i="7"/>
  <c r="AA58" i="7" s="1"/>
  <c r="W58" i="7"/>
  <c r="V58" i="7"/>
  <c r="T58" i="7"/>
  <c r="S58" i="7"/>
  <c r="X57" i="7"/>
  <c r="W57" i="7"/>
  <c r="V57" i="7"/>
  <c r="Z57" i="7" s="1"/>
  <c r="T57" i="7"/>
  <c r="S57" i="7"/>
  <c r="X56" i="7"/>
  <c r="W56" i="7"/>
  <c r="V56" i="7"/>
  <c r="T56" i="7"/>
  <c r="S56" i="7"/>
  <c r="AA55" i="7"/>
  <c r="Z55" i="7"/>
  <c r="X55" i="7"/>
  <c r="W55" i="7"/>
  <c r="V55" i="7"/>
  <c r="T55" i="7"/>
  <c r="S55" i="7"/>
  <c r="X54" i="7"/>
  <c r="AA54" i="7" s="1"/>
  <c r="W54" i="7"/>
  <c r="V54" i="7"/>
  <c r="Z54" i="7" s="1"/>
  <c r="T54" i="7"/>
  <c r="S54" i="7"/>
  <c r="X53" i="7"/>
  <c r="W53" i="7"/>
  <c r="V53" i="7"/>
  <c r="T53" i="7"/>
  <c r="S53" i="7"/>
  <c r="AA53" i="7" s="1"/>
  <c r="AA52" i="7"/>
  <c r="Z52" i="7"/>
  <c r="X52" i="7"/>
  <c r="W52" i="7"/>
  <c r="V52" i="7"/>
  <c r="T52" i="7"/>
  <c r="S52" i="7"/>
  <c r="X51" i="7"/>
  <c r="AA51" i="7" s="1"/>
  <c r="W51" i="7"/>
  <c r="Z51" i="7" s="1"/>
  <c r="V51" i="7"/>
  <c r="T51" i="7"/>
  <c r="S51" i="7"/>
  <c r="AA50" i="7"/>
  <c r="X50" i="7"/>
  <c r="W50" i="7"/>
  <c r="V50" i="7"/>
  <c r="Z50" i="7" s="1"/>
  <c r="T50" i="7"/>
  <c r="S50" i="7"/>
  <c r="Z49" i="7"/>
  <c r="X49" i="7"/>
  <c r="W49" i="7"/>
  <c r="V49" i="7"/>
  <c r="T49" i="7"/>
  <c r="S49" i="7"/>
  <c r="AA49" i="7" s="1"/>
  <c r="AA48" i="7"/>
  <c r="X48" i="7"/>
  <c r="W48" i="7"/>
  <c r="V48" i="7"/>
  <c r="Z48" i="7" s="1"/>
  <c r="T48" i="7"/>
  <c r="S48" i="7"/>
  <c r="X47" i="7"/>
  <c r="W47" i="7"/>
  <c r="V47" i="7"/>
  <c r="T47" i="7"/>
  <c r="S47" i="7"/>
  <c r="AA47" i="7" s="1"/>
  <c r="AA46" i="7"/>
  <c r="X46" i="7"/>
  <c r="W46" i="7"/>
  <c r="V46" i="7"/>
  <c r="Z46" i="7" s="1"/>
  <c r="T46" i="7"/>
  <c r="S46" i="7"/>
  <c r="Z45" i="7"/>
  <c r="X45" i="7"/>
  <c r="AA45" i="7" s="1"/>
  <c r="W45" i="7"/>
  <c r="V45" i="7"/>
  <c r="T45" i="7"/>
  <c r="S45" i="7"/>
  <c r="X44" i="7"/>
  <c r="AA44" i="7" s="1"/>
  <c r="W44" i="7"/>
  <c r="V44" i="7"/>
  <c r="T44" i="7"/>
  <c r="S44" i="7"/>
  <c r="D44" i="7"/>
  <c r="C44" i="7"/>
  <c r="X43" i="7"/>
  <c r="W43" i="7"/>
  <c r="V43" i="7"/>
  <c r="T43" i="7"/>
  <c r="S43" i="7"/>
  <c r="AA43" i="7" s="1"/>
  <c r="D43" i="7"/>
  <c r="C43" i="7"/>
  <c r="AA42" i="7"/>
  <c r="X42" i="7"/>
  <c r="W42" i="7"/>
  <c r="V42" i="7"/>
  <c r="T42" i="7"/>
  <c r="S42" i="7"/>
  <c r="Z42" i="7" s="1"/>
  <c r="D42" i="7"/>
  <c r="C42" i="7"/>
  <c r="AA41" i="7"/>
  <c r="Z41" i="7"/>
  <c r="X41" i="7"/>
  <c r="W41" i="7"/>
  <c r="V41" i="7"/>
  <c r="T41" i="7"/>
  <c r="S41" i="7"/>
  <c r="D41" i="7"/>
  <c r="C41" i="7"/>
  <c r="AA40" i="7"/>
  <c r="Z40" i="7"/>
  <c r="X40" i="7"/>
  <c r="W40" i="7"/>
  <c r="V40" i="7"/>
  <c r="T40" i="7"/>
  <c r="S40" i="7"/>
  <c r="D40" i="7"/>
  <c r="C40" i="7"/>
  <c r="Z39" i="7"/>
  <c r="X39" i="7"/>
  <c r="AA39" i="7" s="1"/>
  <c r="W39" i="7"/>
  <c r="V39" i="7"/>
  <c r="T39" i="7"/>
  <c r="S39" i="7"/>
  <c r="D39" i="7"/>
  <c r="C39" i="7"/>
  <c r="X38" i="7"/>
  <c r="AA38" i="7" s="1"/>
  <c r="W38" i="7"/>
  <c r="Z38" i="7" s="1"/>
  <c r="V38" i="7"/>
  <c r="T38" i="7"/>
  <c r="S38" i="7"/>
  <c r="D38" i="7"/>
  <c r="C38" i="7"/>
  <c r="X37" i="7"/>
  <c r="AA37" i="7" s="1"/>
  <c r="W37" i="7"/>
  <c r="V37" i="7"/>
  <c r="Z37" i="7" s="1"/>
  <c r="T37" i="7"/>
  <c r="S37" i="7"/>
  <c r="D37" i="7"/>
  <c r="C37" i="7"/>
  <c r="X36" i="7"/>
  <c r="AA36" i="7" s="1"/>
  <c r="W36" i="7"/>
  <c r="V36" i="7"/>
  <c r="Z36" i="7" s="1"/>
  <c r="T36" i="7"/>
  <c r="S36" i="7"/>
  <c r="D36" i="7"/>
  <c r="C36" i="7"/>
  <c r="X35" i="7"/>
  <c r="AA35" i="7" s="1"/>
  <c r="W35" i="7"/>
  <c r="V35" i="7"/>
  <c r="Z35" i="7" s="1"/>
  <c r="T35" i="7"/>
  <c r="Y35" i="7" s="1"/>
  <c r="S35" i="7"/>
  <c r="D35" i="7"/>
  <c r="C35" i="7"/>
  <c r="X34" i="7"/>
  <c r="W34" i="7"/>
  <c r="V34" i="7"/>
  <c r="T34" i="7"/>
  <c r="S34" i="7"/>
  <c r="AA34" i="7" s="1"/>
  <c r="D34" i="7"/>
  <c r="C34" i="7"/>
  <c r="X33" i="7"/>
  <c r="W33" i="7"/>
  <c r="V33" i="7"/>
  <c r="T33" i="7"/>
  <c r="S33" i="7"/>
  <c r="AA33" i="7" s="1"/>
  <c r="D33" i="7"/>
  <c r="C33" i="7"/>
  <c r="X32" i="7"/>
  <c r="W32" i="7"/>
  <c r="V32" i="7"/>
  <c r="T32" i="7"/>
  <c r="S32" i="7"/>
  <c r="AA32" i="7" s="1"/>
  <c r="AA31" i="7"/>
  <c r="Z31" i="7"/>
  <c r="X31" i="7"/>
  <c r="W31" i="7"/>
  <c r="V31" i="7"/>
  <c r="T31" i="7"/>
  <c r="S31" i="7"/>
  <c r="X30" i="7"/>
  <c r="AA30" i="7" s="1"/>
  <c r="W30" i="7"/>
  <c r="Z30" i="7" s="1"/>
  <c r="V30" i="7"/>
  <c r="T30" i="7"/>
  <c r="S30" i="7"/>
  <c r="X29" i="7"/>
  <c r="AA29" i="7" s="1"/>
  <c r="W29" i="7"/>
  <c r="V29" i="7"/>
  <c r="Z29" i="7" s="1"/>
  <c r="T29" i="7"/>
  <c r="S29" i="7"/>
  <c r="X28" i="7"/>
  <c r="W28" i="7"/>
  <c r="V28" i="7"/>
  <c r="T28" i="7"/>
  <c r="S28" i="7"/>
  <c r="AA28" i="7" s="1"/>
  <c r="X27" i="7"/>
  <c r="W27" i="7"/>
  <c r="V27" i="7"/>
  <c r="T27" i="7"/>
  <c r="S27" i="7"/>
  <c r="AA27" i="7" s="1"/>
  <c r="AA26" i="7"/>
  <c r="X26" i="7"/>
  <c r="W26" i="7"/>
  <c r="V26" i="7"/>
  <c r="T26" i="7"/>
  <c r="S26" i="7"/>
  <c r="Z26" i="7" s="1"/>
  <c r="AA25" i="7"/>
  <c r="Z25" i="7"/>
  <c r="X25" i="7"/>
  <c r="W25" i="7"/>
  <c r="V25" i="7"/>
  <c r="T25" i="7"/>
  <c r="S25" i="7"/>
  <c r="AA24" i="7"/>
  <c r="Z24" i="7"/>
  <c r="X24" i="7"/>
  <c r="W24" i="7"/>
  <c r="V24" i="7"/>
  <c r="T24" i="7"/>
  <c r="S24" i="7"/>
  <c r="Z23" i="7"/>
  <c r="X23" i="7"/>
  <c r="AA23" i="7" s="1"/>
  <c r="W23" i="7"/>
  <c r="V23" i="7"/>
  <c r="T23" i="7"/>
  <c r="S23" i="7"/>
  <c r="AA22" i="7"/>
  <c r="X22" i="7"/>
  <c r="W22" i="7"/>
  <c r="Z22" i="7" s="1"/>
  <c r="V22" i="7"/>
  <c r="T22" i="7"/>
  <c r="S22" i="7"/>
  <c r="Z21" i="7"/>
  <c r="X21" i="7"/>
  <c r="AA21" i="7" s="1"/>
  <c r="W21" i="7"/>
  <c r="V21" i="7"/>
  <c r="T21" i="7"/>
  <c r="S21" i="7"/>
  <c r="X20" i="7"/>
  <c r="AA20" i="7" s="1"/>
  <c r="W20" i="7"/>
  <c r="V20" i="7"/>
  <c r="Z20" i="7" s="1"/>
  <c r="T20" i="7"/>
  <c r="S20" i="7"/>
  <c r="X19" i="7"/>
  <c r="AA19" i="7" s="1"/>
  <c r="W19" i="7"/>
  <c r="V19" i="7"/>
  <c r="Z19" i="7" s="1"/>
  <c r="T19" i="7"/>
  <c r="S19" i="7"/>
  <c r="X18" i="7"/>
  <c r="W18" i="7"/>
  <c r="Z18" i="7" s="1"/>
  <c r="V18" i="7"/>
  <c r="T18" i="7"/>
  <c r="S18" i="7"/>
  <c r="AA18" i="7" s="1"/>
  <c r="AA17" i="7"/>
  <c r="X17" i="7"/>
  <c r="W17" i="7"/>
  <c r="V17" i="7"/>
  <c r="T17" i="7"/>
  <c r="S17" i="7"/>
  <c r="Z17" i="7" s="1"/>
  <c r="C12" i="7"/>
  <c r="D36" i="5"/>
  <c r="C36" i="5"/>
  <c r="D35" i="5"/>
  <c r="C35" i="5"/>
  <c r="D34" i="5"/>
  <c r="C34" i="5"/>
  <c r="D33" i="5"/>
  <c r="C33" i="5"/>
  <c r="D32" i="5"/>
  <c r="C32" i="5"/>
  <c r="D31" i="5"/>
  <c r="C31" i="5"/>
  <c r="D30" i="5"/>
  <c r="C30" i="5"/>
  <c r="D29" i="5"/>
  <c r="C29" i="5"/>
  <c r="D28" i="5"/>
  <c r="C28" i="5"/>
  <c r="D27" i="5"/>
  <c r="C27" i="5"/>
  <c r="D26" i="5"/>
  <c r="C26" i="5"/>
  <c r="D25" i="5"/>
  <c r="C25" i="5"/>
  <c r="C14" i="5"/>
  <c r="K29" i="4"/>
  <c r="J29" i="4"/>
  <c r="K19" i="4"/>
  <c r="E19" i="4"/>
  <c r="K18" i="4"/>
  <c r="E18" i="4"/>
  <c r="K17" i="4"/>
  <c r="E17" i="4"/>
  <c r="K16" i="4"/>
  <c r="E16" i="4"/>
  <c r="K15" i="4"/>
  <c r="E15" i="4"/>
  <c r="F36" i="3"/>
  <c r="D36" i="3"/>
  <c r="C36" i="3"/>
  <c r="B36" i="3"/>
  <c r="F35" i="3"/>
  <c r="D35" i="3"/>
  <c r="C35" i="3"/>
  <c r="B35" i="3"/>
  <c r="F34" i="3"/>
  <c r="D34" i="3"/>
  <c r="C34" i="3"/>
  <c r="B34" i="3"/>
  <c r="F33" i="3"/>
  <c r="D33" i="3"/>
  <c r="C33" i="3"/>
  <c r="B33" i="3"/>
  <c r="F32" i="3"/>
  <c r="D32" i="3"/>
  <c r="C32" i="3"/>
  <c r="B32" i="3"/>
  <c r="R31" i="3"/>
  <c r="Q31" i="3"/>
  <c r="S31" i="3" s="1"/>
  <c r="T31" i="3" s="1"/>
  <c r="P31" i="3"/>
  <c r="F31" i="3"/>
  <c r="D31" i="3"/>
  <c r="C31" i="3"/>
  <c r="B31" i="3"/>
  <c r="R30" i="3"/>
  <c r="Q30" i="3"/>
  <c r="S30" i="3" s="1"/>
  <c r="T30" i="3" s="1"/>
  <c r="P30" i="3"/>
  <c r="F30" i="3"/>
  <c r="D30" i="3"/>
  <c r="C30" i="3"/>
  <c r="B30" i="3"/>
  <c r="Q29" i="3"/>
  <c r="S29" i="3" s="1"/>
  <c r="T29" i="3" s="1"/>
  <c r="P29" i="3"/>
  <c r="F29" i="3"/>
  <c r="D29" i="3"/>
  <c r="C29" i="3"/>
  <c r="B29" i="3"/>
  <c r="Q28" i="3"/>
  <c r="S28" i="3" s="1"/>
  <c r="T28" i="3" s="1"/>
  <c r="P28" i="3"/>
  <c r="F28" i="3"/>
  <c r="D28" i="3"/>
  <c r="C28" i="3"/>
  <c r="B28" i="3"/>
  <c r="Q27" i="3"/>
  <c r="S27" i="3" s="1"/>
  <c r="T27" i="3" s="1"/>
  <c r="P27" i="3"/>
  <c r="F27" i="3"/>
  <c r="D27" i="3"/>
  <c r="C27" i="3"/>
  <c r="B27" i="3"/>
  <c r="Q26" i="3"/>
  <c r="S26" i="3" s="1"/>
  <c r="T26" i="3" s="1"/>
  <c r="P26" i="3"/>
  <c r="F26" i="3"/>
  <c r="D26" i="3"/>
  <c r="C26" i="3"/>
  <c r="B26" i="3"/>
  <c r="R25" i="3"/>
  <c r="Q25" i="3"/>
  <c r="S25" i="3" s="1"/>
  <c r="T25" i="3" s="1"/>
  <c r="P25" i="3"/>
  <c r="F25" i="3"/>
  <c r="D25" i="3"/>
  <c r="C25" i="3"/>
  <c r="B25" i="3"/>
  <c r="H22" i="3"/>
  <c r="E19" i="3"/>
  <c r="D19" i="3"/>
  <c r="C19" i="3"/>
  <c r="B19" i="3"/>
  <c r="L18" i="3"/>
  <c r="I18" i="3"/>
  <c r="D18" i="3"/>
  <c r="R18" i="3" s="1"/>
  <c r="C18" i="3"/>
  <c r="B18" i="3"/>
  <c r="D17" i="3"/>
  <c r="M17" i="3" s="1"/>
  <c r="C17" i="3"/>
  <c r="B17" i="3"/>
  <c r="R16" i="3"/>
  <c r="N16" i="3"/>
  <c r="M16" i="3"/>
  <c r="L16" i="3"/>
  <c r="K16" i="3"/>
  <c r="F16" i="3"/>
  <c r="D16" i="3"/>
  <c r="T16" i="3" s="1"/>
  <c r="C16" i="3"/>
  <c r="B16" i="3"/>
  <c r="T15" i="3"/>
  <c r="S15" i="3"/>
  <c r="R15" i="3"/>
  <c r="Q15" i="3"/>
  <c r="O15" i="3"/>
  <c r="M15" i="3"/>
  <c r="K15" i="3"/>
  <c r="I15" i="3"/>
  <c r="H15" i="3"/>
  <c r="G15" i="3"/>
  <c r="F15" i="3"/>
  <c r="D15" i="3"/>
  <c r="N15" i="3" s="1"/>
  <c r="C15" i="3"/>
  <c r="B15" i="3"/>
  <c r="M14" i="3"/>
  <c r="D14" i="3"/>
  <c r="J14" i="3" s="1"/>
  <c r="C14" i="3"/>
  <c r="B14" i="3"/>
  <c r="T13" i="3"/>
  <c r="S13" i="3"/>
  <c r="Q13" i="3"/>
  <c r="O13" i="3"/>
  <c r="M13" i="3"/>
  <c r="K13" i="3"/>
  <c r="J13" i="3"/>
  <c r="I13" i="3"/>
  <c r="H13" i="3"/>
  <c r="G13" i="3"/>
  <c r="D13" i="3"/>
  <c r="P13" i="3" s="1"/>
  <c r="C13" i="3"/>
  <c r="B13" i="3"/>
  <c r="R12" i="3"/>
  <c r="O12" i="3"/>
  <c r="J12" i="3"/>
  <c r="F12" i="3"/>
  <c r="D12" i="3"/>
  <c r="L12" i="3" s="1"/>
  <c r="C12" i="3"/>
  <c r="B12" i="3"/>
  <c r="T11" i="3"/>
  <c r="S11" i="3"/>
  <c r="R11" i="3"/>
  <c r="Q11" i="3"/>
  <c r="O11" i="3"/>
  <c r="M11" i="3"/>
  <c r="L11" i="3"/>
  <c r="K11" i="3"/>
  <c r="J11" i="3"/>
  <c r="I11" i="3"/>
  <c r="H11" i="3"/>
  <c r="G11" i="3"/>
  <c r="F11" i="3"/>
  <c r="E11" i="3"/>
  <c r="D11" i="3"/>
  <c r="P11" i="3" s="1"/>
  <c r="C11" i="3"/>
  <c r="B11" i="3"/>
  <c r="T10" i="3"/>
  <c r="S10" i="3"/>
  <c r="R10" i="3"/>
  <c r="Q10" i="3"/>
  <c r="L10" i="3"/>
  <c r="H10" i="3"/>
  <c r="G10" i="3"/>
  <c r="F10" i="3"/>
  <c r="E10" i="3"/>
  <c r="D10" i="3"/>
  <c r="N10" i="3" s="1"/>
  <c r="C10" i="3"/>
  <c r="B10" i="3"/>
  <c r="T9" i="3"/>
  <c r="S9" i="3"/>
  <c r="Q9" i="3"/>
  <c r="O9" i="3"/>
  <c r="N9" i="3"/>
  <c r="M9" i="3"/>
  <c r="L9" i="3"/>
  <c r="K9" i="3"/>
  <c r="J9" i="3"/>
  <c r="I9" i="3"/>
  <c r="H9" i="3"/>
  <c r="G9" i="3"/>
  <c r="D9" i="3"/>
  <c r="R9" i="3" s="1"/>
  <c r="C9" i="3"/>
  <c r="B9" i="3"/>
  <c r="T8" i="3"/>
  <c r="S8" i="3"/>
  <c r="R8" i="3"/>
  <c r="N8" i="3"/>
  <c r="L8" i="3"/>
  <c r="J8" i="3"/>
  <c r="I8" i="3"/>
  <c r="H8" i="3"/>
  <c r="G8" i="3"/>
  <c r="F8" i="3"/>
  <c r="D8" i="3"/>
  <c r="P8" i="3" s="1"/>
  <c r="C8" i="3"/>
  <c r="B8" i="3"/>
  <c r="G205" i="2"/>
  <c r="U216" i="7" s="1"/>
  <c r="G204" i="2"/>
  <c r="U215" i="7" s="1"/>
  <c r="G203" i="2"/>
  <c r="U214" i="7" s="1"/>
  <c r="G202" i="2"/>
  <c r="U213" i="7" s="1"/>
  <c r="G201" i="2"/>
  <c r="U212" i="7" s="1"/>
  <c r="G200" i="2"/>
  <c r="U211" i="7" s="1"/>
  <c r="Y211" i="7" s="1"/>
  <c r="G199" i="2"/>
  <c r="U210" i="7" s="1"/>
  <c r="G198" i="2"/>
  <c r="U209" i="7" s="1"/>
  <c r="G197" i="2"/>
  <c r="U208" i="7" s="1"/>
  <c r="G196" i="2"/>
  <c r="U207" i="7" s="1"/>
  <c r="Y207" i="7" s="1"/>
  <c r="G195" i="2"/>
  <c r="U206" i="7" s="1"/>
  <c r="G194" i="2"/>
  <c r="U205" i="7" s="1"/>
  <c r="G193" i="2"/>
  <c r="U204" i="7" s="1"/>
  <c r="G192" i="2"/>
  <c r="U203" i="7" s="1"/>
  <c r="Y203" i="7" s="1"/>
  <c r="G191" i="2"/>
  <c r="U202" i="7" s="1"/>
  <c r="G190" i="2"/>
  <c r="U201" i="7" s="1"/>
  <c r="G189" i="2"/>
  <c r="U200" i="7" s="1"/>
  <c r="G188" i="2"/>
  <c r="U199" i="7" s="1"/>
  <c r="Y199" i="7" s="1"/>
  <c r="G187" i="2"/>
  <c r="U198" i="7" s="1"/>
  <c r="Y198" i="7" s="1"/>
  <c r="G186" i="2"/>
  <c r="U197" i="7" s="1"/>
  <c r="G185" i="2"/>
  <c r="U196" i="7" s="1"/>
  <c r="G184" i="2"/>
  <c r="U195" i="7" s="1"/>
  <c r="Y195" i="7" s="1"/>
  <c r="G183" i="2"/>
  <c r="U194" i="7" s="1"/>
  <c r="G182" i="2"/>
  <c r="U193" i="7" s="1"/>
  <c r="G181" i="2"/>
  <c r="U192" i="7" s="1"/>
  <c r="G180" i="2"/>
  <c r="U191" i="7" s="1"/>
  <c r="Y191" i="7" s="1"/>
  <c r="G179" i="2"/>
  <c r="U190" i="7" s="1"/>
  <c r="Y190" i="7" s="1"/>
  <c r="G178" i="2"/>
  <c r="U189" i="7" s="1"/>
  <c r="G177" i="2"/>
  <c r="U188" i="7" s="1"/>
  <c r="G176" i="2"/>
  <c r="U187" i="7" s="1"/>
  <c r="Y187" i="7" s="1"/>
  <c r="G175" i="2"/>
  <c r="U186" i="7" s="1"/>
  <c r="G174" i="2"/>
  <c r="U185" i="7" s="1"/>
  <c r="G173" i="2"/>
  <c r="U184" i="7" s="1"/>
  <c r="G172" i="2"/>
  <c r="U183" i="7" s="1"/>
  <c r="Y183" i="7" s="1"/>
  <c r="G171" i="2"/>
  <c r="U182" i="7" s="1"/>
  <c r="G170" i="2"/>
  <c r="U181" i="7" s="1"/>
  <c r="G169" i="2"/>
  <c r="U180" i="7" s="1"/>
  <c r="G168" i="2"/>
  <c r="U179" i="7" s="1"/>
  <c r="Y179" i="7" s="1"/>
  <c r="G167" i="2"/>
  <c r="U178" i="7" s="1"/>
  <c r="Y178" i="7" s="1"/>
  <c r="G166" i="2"/>
  <c r="U177" i="7" s="1"/>
  <c r="G165" i="2"/>
  <c r="U176" i="7" s="1"/>
  <c r="G164" i="2"/>
  <c r="U175" i="7" s="1"/>
  <c r="Y175" i="7" s="1"/>
  <c r="G163" i="2"/>
  <c r="U174" i="7" s="1"/>
  <c r="G162" i="2"/>
  <c r="U173" i="7" s="1"/>
  <c r="G161" i="2"/>
  <c r="U172" i="7" s="1"/>
  <c r="G160" i="2"/>
  <c r="U171" i="7" s="1"/>
  <c r="Y171" i="7" s="1"/>
  <c r="G159" i="2"/>
  <c r="U170" i="7" s="1"/>
  <c r="G158" i="2"/>
  <c r="U169" i="7" s="1"/>
  <c r="G157" i="2"/>
  <c r="U168" i="7" s="1"/>
  <c r="G156" i="2"/>
  <c r="U167" i="7" s="1"/>
  <c r="Y167" i="7" s="1"/>
  <c r="G155" i="2"/>
  <c r="U166" i="7" s="1"/>
  <c r="Y166" i="7" s="1"/>
  <c r="G154" i="2"/>
  <c r="U165" i="7" s="1"/>
  <c r="G153" i="2"/>
  <c r="U164" i="7" s="1"/>
  <c r="G152" i="2"/>
  <c r="U163" i="7" s="1"/>
  <c r="Y163" i="7" s="1"/>
  <c r="G151" i="2"/>
  <c r="U162" i="7" s="1"/>
  <c r="Y162" i="7" s="1"/>
  <c r="G150" i="2"/>
  <c r="U161" i="7" s="1"/>
  <c r="G149" i="2"/>
  <c r="U160" i="7" s="1"/>
  <c r="G148" i="2"/>
  <c r="U159" i="7" s="1"/>
  <c r="Y159" i="7" s="1"/>
  <c r="G147" i="2"/>
  <c r="U158" i="7" s="1"/>
  <c r="G146" i="2"/>
  <c r="U157" i="7" s="1"/>
  <c r="G145" i="2"/>
  <c r="U156" i="7" s="1"/>
  <c r="G144" i="2"/>
  <c r="U155" i="7" s="1"/>
  <c r="Y155" i="7" s="1"/>
  <c r="G143" i="2"/>
  <c r="U154" i="7" s="1"/>
  <c r="G142" i="2"/>
  <c r="U153" i="7" s="1"/>
  <c r="G141" i="2"/>
  <c r="U152" i="7" s="1"/>
  <c r="G140" i="2"/>
  <c r="U151" i="7" s="1"/>
  <c r="Y151" i="7" s="1"/>
  <c r="G139" i="2"/>
  <c r="U150" i="7" s="1"/>
  <c r="Y150" i="7" s="1"/>
  <c r="G138" i="2"/>
  <c r="U149" i="7" s="1"/>
  <c r="G137" i="2"/>
  <c r="U148" i="7" s="1"/>
  <c r="G136" i="2"/>
  <c r="U147" i="7" s="1"/>
  <c r="Y147" i="7" s="1"/>
  <c r="G135" i="2"/>
  <c r="U146" i="7" s="1"/>
  <c r="G134" i="2"/>
  <c r="U145" i="7" s="1"/>
  <c r="G133" i="2"/>
  <c r="U144" i="7" s="1"/>
  <c r="G132" i="2"/>
  <c r="U143" i="7" s="1"/>
  <c r="Y143" i="7" s="1"/>
  <c r="G131" i="2"/>
  <c r="U142" i="7" s="1"/>
  <c r="Y142" i="7" s="1"/>
  <c r="G130" i="2"/>
  <c r="U141" i="7" s="1"/>
  <c r="G129" i="2"/>
  <c r="U140" i="7" s="1"/>
  <c r="G128" i="2"/>
  <c r="U139" i="7" s="1"/>
  <c r="Y139" i="7" s="1"/>
  <c r="G127" i="2"/>
  <c r="U138" i="7" s="1"/>
  <c r="G126" i="2"/>
  <c r="U137" i="7" s="1"/>
  <c r="G125" i="2"/>
  <c r="U136" i="7" s="1"/>
  <c r="G124" i="2"/>
  <c r="U135" i="7" s="1"/>
  <c r="Y135" i="7" s="1"/>
  <c r="G123" i="2"/>
  <c r="U134" i="7" s="1"/>
  <c r="G122" i="2"/>
  <c r="U133" i="7" s="1"/>
  <c r="G121" i="2"/>
  <c r="U132" i="7" s="1"/>
  <c r="G120" i="2"/>
  <c r="U131" i="7" s="1"/>
  <c r="Y131" i="7" s="1"/>
  <c r="G119" i="2"/>
  <c r="U130" i="7" s="1"/>
  <c r="Y130" i="7" s="1"/>
  <c r="G118" i="2"/>
  <c r="U129" i="7" s="1"/>
  <c r="G117" i="2"/>
  <c r="U128" i="7" s="1"/>
  <c r="G116" i="2"/>
  <c r="U127" i="7" s="1"/>
  <c r="Y127" i="7" s="1"/>
  <c r="G115" i="2"/>
  <c r="U126" i="7" s="1"/>
  <c r="G114" i="2"/>
  <c r="U125" i="7" s="1"/>
  <c r="G113" i="2"/>
  <c r="U124" i="7" s="1"/>
  <c r="G112" i="2"/>
  <c r="U123" i="7" s="1"/>
  <c r="Y123" i="7" s="1"/>
  <c r="G111" i="2"/>
  <c r="U122" i="7" s="1"/>
  <c r="Y122" i="7" s="1"/>
  <c r="G110" i="2"/>
  <c r="U121" i="7" s="1"/>
  <c r="G109" i="2"/>
  <c r="U120" i="7" s="1"/>
  <c r="G108" i="2"/>
  <c r="U119" i="7" s="1"/>
  <c r="Y119" i="7" s="1"/>
  <c r="G107" i="2"/>
  <c r="U118" i="7" s="1"/>
  <c r="G106" i="2"/>
  <c r="U117" i="7" s="1"/>
  <c r="G105" i="2"/>
  <c r="U116" i="7" s="1"/>
  <c r="G104" i="2"/>
  <c r="U115" i="7" s="1"/>
  <c r="Y115" i="7" s="1"/>
  <c r="G103" i="2"/>
  <c r="U114" i="7" s="1"/>
  <c r="G102" i="2"/>
  <c r="U113" i="7" s="1"/>
  <c r="G101" i="2"/>
  <c r="U112" i="7" s="1"/>
  <c r="G100" i="2"/>
  <c r="U111" i="7" s="1"/>
  <c r="G99" i="2"/>
  <c r="U110" i="7" s="1"/>
  <c r="Y110" i="7" s="1"/>
  <c r="G98" i="2"/>
  <c r="U109" i="7" s="1"/>
  <c r="G97" i="2"/>
  <c r="U108" i="7" s="1"/>
  <c r="G96" i="2"/>
  <c r="U107" i="7" s="1"/>
  <c r="Y107" i="7" s="1"/>
  <c r="G95" i="2"/>
  <c r="U106" i="7" s="1"/>
  <c r="G94" i="2"/>
  <c r="U105" i="7" s="1"/>
  <c r="G93" i="2"/>
  <c r="U104" i="7" s="1"/>
  <c r="G92" i="2"/>
  <c r="U103" i="7" s="1"/>
  <c r="Y103" i="7" s="1"/>
  <c r="G91" i="2"/>
  <c r="U102" i="7" s="1"/>
  <c r="G90" i="2"/>
  <c r="U101" i="7" s="1"/>
  <c r="G89" i="2"/>
  <c r="U100" i="7" s="1"/>
  <c r="G88" i="2"/>
  <c r="U99" i="7" s="1"/>
  <c r="G87" i="2"/>
  <c r="U98" i="7" s="1"/>
  <c r="Y98" i="7" s="1"/>
  <c r="G86" i="2"/>
  <c r="U97" i="7" s="1"/>
  <c r="G85" i="2"/>
  <c r="U96" i="7" s="1"/>
  <c r="G84" i="2"/>
  <c r="U95" i="7" s="1"/>
  <c r="Y95" i="7" s="1"/>
  <c r="G83" i="2"/>
  <c r="U94" i="7" s="1"/>
  <c r="G82" i="2"/>
  <c r="U93" i="7" s="1"/>
  <c r="G81" i="2"/>
  <c r="U92" i="7" s="1"/>
  <c r="G80" i="2"/>
  <c r="U91" i="7" s="1"/>
  <c r="G79" i="2"/>
  <c r="U90" i="7" s="1"/>
  <c r="G78" i="2"/>
  <c r="U89" i="7" s="1"/>
  <c r="G77" i="2"/>
  <c r="U88" i="7" s="1"/>
  <c r="G76" i="2"/>
  <c r="U87" i="7" s="1"/>
  <c r="G75" i="2"/>
  <c r="U86" i="7" s="1"/>
  <c r="Y86" i="7" s="1"/>
  <c r="G74" i="2"/>
  <c r="U85" i="7" s="1"/>
  <c r="G73" i="2"/>
  <c r="U84" i="7" s="1"/>
  <c r="G72" i="2"/>
  <c r="U83" i="7" s="1"/>
  <c r="Y83" i="7" s="1"/>
  <c r="G71" i="2"/>
  <c r="U82" i="7" s="1"/>
  <c r="G70" i="2"/>
  <c r="U81" i="7" s="1"/>
  <c r="G69" i="2"/>
  <c r="U80" i="7" s="1"/>
  <c r="G68" i="2"/>
  <c r="U79" i="7" s="1"/>
  <c r="G67" i="2"/>
  <c r="U78" i="7" s="1"/>
  <c r="G66" i="2"/>
  <c r="U77" i="7" s="1"/>
  <c r="Y77" i="7" s="1"/>
  <c r="G65" i="2"/>
  <c r="U76" i="7" s="1"/>
  <c r="G64" i="2"/>
  <c r="U75" i="7" s="1"/>
  <c r="G63" i="2"/>
  <c r="U74" i="7" s="1"/>
  <c r="Y74" i="7" s="1"/>
  <c r="G62" i="2"/>
  <c r="U73" i="7" s="1"/>
  <c r="G61" i="2"/>
  <c r="U72" i="7" s="1"/>
  <c r="G60" i="2"/>
  <c r="U71" i="7" s="1"/>
  <c r="Y71" i="7" s="1"/>
  <c r="G59" i="2"/>
  <c r="U70" i="7" s="1"/>
  <c r="Y70" i="7" s="1"/>
  <c r="G58" i="2"/>
  <c r="U69" i="7" s="1"/>
  <c r="G57" i="2"/>
  <c r="U68" i="7" s="1"/>
  <c r="G56" i="2"/>
  <c r="U67" i="7" s="1"/>
  <c r="Y67" i="7" s="1"/>
  <c r="G55" i="2"/>
  <c r="U66" i="7" s="1"/>
  <c r="G54" i="2"/>
  <c r="U65" i="7" s="1"/>
  <c r="G53" i="2"/>
  <c r="U64" i="7" s="1"/>
  <c r="G52" i="2"/>
  <c r="U63" i="7" s="1"/>
  <c r="G51" i="2"/>
  <c r="U62" i="7" s="1"/>
  <c r="G50" i="2"/>
  <c r="U61" i="7" s="1"/>
  <c r="Y61" i="7" s="1"/>
  <c r="G49" i="2"/>
  <c r="U60" i="7" s="1"/>
  <c r="G48" i="2"/>
  <c r="U59" i="7" s="1"/>
  <c r="G47" i="2"/>
  <c r="U58" i="7" s="1"/>
  <c r="Y58" i="7" s="1"/>
  <c r="G46" i="2"/>
  <c r="U57" i="7" s="1"/>
  <c r="G45" i="2"/>
  <c r="U56" i="7" s="1"/>
  <c r="G44" i="2"/>
  <c r="U55" i="7" s="1"/>
  <c r="Y55" i="7" s="1"/>
  <c r="G43" i="2"/>
  <c r="U54" i="7" s="1"/>
  <c r="Y54" i="7" s="1"/>
  <c r="G42" i="2"/>
  <c r="U53" i="7" s="1"/>
  <c r="G41" i="2"/>
  <c r="U52" i="7" s="1"/>
  <c r="G40" i="2"/>
  <c r="U51" i="7" s="1"/>
  <c r="Y51" i="7" s="1"/>
  <c r="G39" i="2"/>
  <c r="U50" i="7" s="1"/>
  <c r="G38" i="2"/>
  <c r="U49" i="7" s="1"/>
  <c r="G37" i="2"/>
  <c r="U48" i="7" s="1"/>
  <c r="G36" i="2"/>
  <c r="U47" i="7" s="1"/>
  <c r="G35" i="2"/>
  <c r="U46" i="7" s="1"/>
  <c r="G34" i="2"/>
  <c r="U45" i="7" s="1"/>
  <c r="Y45" i="7" s="1"/>
  <c r="G33" i="2"/>
  <c r="U44" i="7" s="1"/>
  <c r="G32" i="2"/>
  <c r="U43" i="7" s="1"/>
  <c r="G31" i="2"/>
  <c r="U42" i="7" s="1"/>
  <c r="G30" i="2"/>
  <c r="U41" i="7" s="1"/>
  <c r="G29" i="2"/>
  <c r="U40" i="7" s="1"/>
  <c r="Y40" i="7" s="1"/>
  <c r="G28" i="2"/>
  <c r="U39" i="7" s="1"/>
  <c r="Y39" i="7" s="1"/>
  <c r="G27" i="2"/>
  <c r="U38" i="7" s="1"/>
  <c r="Y38" i="7" s="1"/>
  <c r="G26" i="2"/>
  <c r="U37" i="7" s="1"/>
  <c r="Y37" i="7" s="1"/>
  <c r="G25" i="2"/>
  <c r="U36" i="7" s="1"/>
  <c r="Y36" i="7" s="1"/>
  <c r="G24" i="2"/>
  <c r="U35" i="7" s="1"/>
  <c r="G23" i="2"/>
  <c r="U34" i="7" s="1"/>
  <c r="G22" i="2"/>
  <c r="U33" i="7" s="1"/>
  <c r="G21" i="2"/>
  <c r="U32" i="7" s="1"/>
  <c r="G20" i="2"/>
  <c r="U31" i="7" s="1"/>
  <c r="G19" i="2"/>
  <c r="U30" i="7" s="1"/>
  <c r="Y30" i="7" s="1"/>
  <c r="G18" i="2"/>
  <c r="U29" i="7" s="1"/>
  <c r="D28" i="7"/>
  <c r="E28" i="7" s="1"/>
  <c r="G16" i="2"/>
  <c r="D27" i="7" s="1"/>
  <c r="E27" i="7" s="1"/>
  <c r="G15" i="2"/>
  <c r="R28" i="3" s="1"/>
  <c r="G14" i="2"/>
  <c r="E16" i="3" s="1"/>
  <c r="G13" i="2"/>
  <c r="E32" i="3" s="1"/>
  <c r="G12" i="2"/>
  <c r="U23" i="7" s="1"/>
  <c r="Y23" i="7" s="1"/>
  <c r="G11" i="2"/>
  <c r="E13" i="3" s="1"/>
  <c r="G10" i="2"/>
  <c r="U21" i="7" s="1"/>
  <c r="Y21" i="7" s="1"/>
  <c r="G9" i="2"/>
  <c r="U20" i="7" s="1"/>
  <c r="Y20" i="7" s="1"/>
  <c r="G8" i="2"/>
  <c r="U19" i="7" s="1"/>
  <c r="G7" i="2"/>
  <c r="E26" i="3" s="1"/>
  <c r="G6" i="2"/>
  <c r="D17" i="7" s="1"/>
  <c r="O42" i="1"/>
  <c r="M42" i="1"/>
  <c r="L42" i="1"/>
  <c r="K42" i="1"/>
  <c r="J42" i="1"/>
  <c r="I42" i="1"/>
  <c r="H42" i="1"/>
  <c r="G42" i="1"/>
  <c r="F42" i="1"/>
  <c r="E42" i="1"/>
  <c r="D42" i="1"/>
  <c r="C42" i="1"/>
  <c r="N41" i="1"/>
  <c r="M41" i="1"/>
  <c r="L41" i="1"/>
  <c r="K41" i="1"/>
  <c r="J41" i="1"/>
  <c r="I41" i="1"/>
  <c r="H41" i="1"/>
  <c r="G41" i="1"/>
  <c r="F41" i="1"/>
  <c r="O41" i="1" s="1"/>
  <c r="E41" i="1"/>
  <c r="D41" i="1"/>
  <c r="C41" i="1"/>
  <c r="N40" i="1"/>
  <c r="O40" i="1" s="1"/>
  <c r="M40" i="1"/>
  <c r="L40" i="1"/>
  <c r="K40" i="1"/>
  <c r="J40" i="1"/>
  <c r="I40" i="1"/>
  <c r="H40" i="1"/>
  <c r="G40" i="1"/>
  <c r="F40" i="1"/>
  <c r="E40" i="1"/>
  <c r="D40" i="1"/>
  <c r="C40" i="1"/>
  <c r="N39" i="1"/>
  <c r="M39" i="1"/>
  <c r="L39" i="1"/>
  <c r="K39" i="1"/>
  <c r="J39" i="1"/>
  <c r="I39" i="1"/>
  <c r="H39" i="1"/>
  <c r="G39" i="1"/>
  <c r="F39" i="1"/>
  <c r="E39" i="1"/>
  <c r="D39" i="1"/>
  <c r="C39" i="1"/>
  <c r="O39" i="1" s="1"/>
  <c r="N38" i="1"/>
  <c r="O38" i="1" s="1"/>
  <c r="M38" i="1"/>
  <c r="L38" i="1"/>
  <c r="K38" i="1"/>
  <c r="J38" i="1"/>
  <c r="I38" i="1"/>
  <c r="H38" i="1"/>
  <c r="G38" i="1"/>
  <c r="F38" i="1"/>
  <c r="E38" i="1"/>
  <c r="D38" i="1"/>
  <c r="C38" i="1"/>
  <c r="H31" i="1"/>
  <c r="L25" i="1"/>
  <c r="L15" i="1"/>
  <c r="Q7" i="1"/>
  <c r="L20" i="1" s="1"/>
  <c r="L7" i="1"/>
  <c r="O3" i="1"/>
  <c r="O2" i="1"/>
  <c r="E17" i="7" l="1"/>
  <c r="I26" i="4"/>
  <c r="K19" i="3"/>
  <c r="Q19" i="3"/>
  <c r="O19" i="3"/>
  <c r="N19" i="3"/>
  <c r="I19" i="3"/>
  <c r="K26" i="4"/>
  <c r="Y19" i="7"/>
  <c r="Y66" i="7"/>
  <c r="Y102" i="7"/>
  <c r="Y49" i="7"/>
  <c r="Y62" i="7"/>
  <c r="Y118" i="7"/>
  <c r="Y90" i="7"/>
  <c r="Y106" i="7"/>
  <c r="Y158" i="7"/>
  <c r="Y194" i="7"/>
  <c r="Y94" i="7"/>
  <c r="Y154" i="7"/>
  <c r="Y82" i="7"/>
  <c r="Y65" i="7"/>
  <c r="Y78" i="7"/>
  <c r="Y31" i="7"/>
  <c r="Y50" i="7"/>
  <c r="Y146" i="7"/>
  <c r="Y174" i="7"/>
  <c r="Y182" i="7"/>
  <c r="Y186" i="7"/>
  <c r="Y41" i="7"/>
  <c r="Y46" i="7"/>
  <c r="Y170" i="7"/>
  <c r="Y29" i="7"/>
  <c r="Y126" i="7"/>
  <c r="Y134" i="7"/>
  <c r="Y81" i="7"/>
  <c r="Y114" i="7"/>
  <c r="Y138" i="7"/>
  <c r="Y202" i="7"/>
  <c r="Y206" i="7"/>
  <c r="G7" i="1"/>
  <c r="E8" i="3"/>
  <c r="Q8" i="3"/>
  <c r="O10" i="3"/>
  <c r="M12" i="3"/>
  <c r="F13" i="3"/>
  <c r="R13" i="3"/>
  <c r="K14" i="3"/>
  <c r="P15" i="3"/>
  <c r="I16" i="3"/>
  <c r="N17" i="3"/>
  <c r="G18" i="3"/>
  <c r="S18" i="3"/>
  <c r="L19" i="3"/>
  <c r="C13" i="5"/>
  <c r="U18" i="7"/>
  <c r="D26" i="7"/>
  <c r="E26" i="7" s="1"/>
  <c r="Y44" i="7"/>
  <c r="AA57" i="7"/>
  <c r="AA59" i="7"/>
  <c r="AA73" i="7"/>
  <c r="AA75" i="7"/>
  <c r="AA133" i="7"/>
  <c r="Z133" i="7"/>
  <c r="Y133" i="7"/>
  <c r="Y164" i="7"/>
  <c r="AA181" i="7"/>
  <c r="Z181" i="7"/>
  <c r="Y181" i="7"/>
  <c r="P10" i="3"/>
  <c r="N12" i="3"/>
  <c r="L14" i="3"/>
  <c r="E15" i="3"/>
  <c r="J16" i="3"/>
  <c r="O17" i="3"/>
  <c r="H18" i="3"/>
  <c r="T18" i="3"/>
  <c r="M19" i="3"/>
  <c r="E25" i="3"/>
  <c r="R27" i="3"/>
  <c r="E31" i="3"/>
  <c r="U17" i="7"/>
  <c r="Y17" i="7" s="1"/>
  <c r="D25" i="7"/>
  <c r="E25" i="7" s="1"/>
  <c r="Y60" i="7"/>
  <c r="Y76" i="7"/>
  <c r="Y144" i="7"/>
  <c r="AA161" i="7"/>
  <c r="Z161" i="7"/>
  <c r="Y161" i="7"/>
  <c r="Y192" i="7"/>
  <c r="AA209" i="7"/>
  <c r="Z209" i="7"/>
  <c r="Y209" i="7"/>
  <c r="E35" i="3"/>
  <c r="C6" i="7"/>
  <c r="D24" i="7"/>
  <c r="E24" i="7" s="1"/>
  <c r="U28" i="7"/>
  <c r="Y124" i="7"/>
  <c r="AA141" i="7"/>
  <c r="Z141" i="7"/>
  <c r="Y141" i="7"/>
  <c r="Y172" i="7"/>
  <c r="AA189" i="7"/>
  <c r="Z189" i="7"/>
  <c r="Y189" i="7"/>
  <c r="P12" i="3"/>
  <c r="N14" i="3"/>
  <c r="E17" i="3"/>
  <c r="Q17" i="3"/>
  <c r="J18" i="3"/>
  <c r="R26" i="3"/>
  <c r="E30" i="3"/>
  <c r="C8" i="5"/>
  <c r="C7" i="7"/>
  <c r="D23" i="7"/>
  <c r="U27" i="7"/>
  <c r="AA85" i="7"/>
  <c r="Y85" i="7"/>
  <c r="Y88" i="7"/>
  <c r="AA97" i="7"/>
  <c r="Y97" i="7"/>
  <c r="Y100" i="7"/>
  <c r="AA109" i="7"/>
  <c r="Y109" i="7"/>
  <c r="Y112" i="7"/>
  <c r="AA121" i="7"/>
  <c r="Z121" i="7"/>
  <c r="Y121" i="7"/>
  <c r="Y152" i="7"/>
  <c r="AA169" i="7"/>
  <c r="Z169" i="7"/>
  <c r="Y169" i="7"/>
  <c r="Y200" i="7"/>
  <c r="E12" i="3"/>
  <c r="Q12" i="3"/>
  <c r="O14" i="3"/>
  <c r="F17" i="3"/>
  <c r="R17" i="3"/>
  <c r="K18" i="3"/>
  <c r="P19" i="3"/>
  <c r="E33" i="3"/>
  <c r="J26" i="4"/>
  <c r="O8" i="5"/>
  <c r="O9" i="5" s="1"/>
  <c r="C8" i="7"/>
  <c r="Y18" i="7"/>
  <c r="D22" i="7"/>
  <c r="E22" i="7" s="1"/>
  <c r="U26" i="7"/>
  <c r="Y26" i="7" s="1"/>
  <c r="Y34" i="7"/>
  <c r="Y56" i="7"/>
  <c r="Y72" i="7"/>
  <c r="Y132" i="7"/>
  <c r="AA149" i="7"/>
  <c r="Z149" i="7"/>
  <c r="Y149" i="7"/>
  <c r="Y180" i="7"/>
  <c r="AA197" i="7"/>
  <c r="Z197" i="7"/>
  <c r="Y197" i="7"/>
  <c r="C9" i="5"/>
  <c r="C9" i="7"/>
  <c r="D21" i="7"/>
  <c r="U25" i="7"/>
  <c r="Y25" i="7" s="1"/>
  <c r="Y33" i="7"/>
  <c r="Z34" i="7"/>
  <c r="AA129" i="7"/>
  <c r="Z129" i="7"/>
  <c r="Y129" i="7"/>
  <c r="Y160" i="7"/>
  <c r="AA177" i="7"/>
  <c r="Z177" i="7"/>
  <c r="Y177" i="7"/>
  <c r="Y208" i="7"/>
  <c r="E31" i="1"/>
  <c r="K8" i="3"/>
  <c r="P9" i="3"/>
  <c r="I10" i="3"/>
  <c r="N11" i="3"/>
  <c r="G12" i="3"/>
  <c r="S12" i="3"/>
  <c r="L13" i="3"/>
  <c r="E14" i="3"/>
  <c r="Q14" i="3"/>
  <c r="J15" i="3"/>
  <c r="O16" i="3"/>
  <c r="H17" i="3"/>
  <c r="T17" i="3"/>
  <c r="M18" i="3"/>
  <c r="F19" i="3"/>
  <c r="R19" i="3"/>
  <c r="C10" i="7"/>
  <c r="D20" i="7"/>
  <c r="E20" i="7" s="1"/>
  <c r="U24" i="7"/>
  <c r="Y24" i="7" s="1"/>
  <c r="Y28" i="7"/>
  <c r="Y32" i="7"/>
  <c r="Z33" i="7"/>
  <c r="Z44" i="7"/>
  <c r="Y57" i="7"/>
  <c r="Y73" i="7"/>
  <c r="Y140" i="7"/>
  <c r="AA157" i="7"/>
  <c r="Z157" i="7"/>
  <c r="Y157" i="7"/>
  <c r="Z164" i="7"/>
  <c r="Y188" i="7"/>
  <c r="AA205" i="7"/>
  <c r="Z205" i="7"/>
  <c r="Y205" i="7"/>
  <c r="S17" i="3"/>
  <c r="E9" i="3"/>
  <c r="J10" i="3"/>
  <c r="H12" i="3"/>
  <c r="T12" i="3"/>
  <c r="F14" i="3"/>
  <c r="R14" i="3"/>
  <c r="P16" i="3"/>
  <c r="I17" i="3"/>
  <c r="N18" i="3"/>
  <c r="G19" i="3"/>
  <c r="S19" i="3"/>
  <c r="E28" i="3"/>
  <c r="E36" i="3"/>
  <c r="C10" i="5"/>
  <c r="C11" i="7"/>
  <c r="D19" i="7"/>
  <c r="E19" i="7" s="1"/>
  <c r="Y27" i="7"/>
  <c r="Z28" i="7"/>
  <c r="Z32" i="7"/>
  <c r="Y43" i="7"/>
  <c r="Y47" i="7"/>
  <c r="Y52" i="7"/>
  <c r="Z60" i="7"/>
  <c r="Y63" i="7"/>
  <c r="Y68" i="7"/>
  <c r="Z76" i="7"/>
  <c r="Y79" i="7"/>
  <c r="Y84" i="7"/>
  <c r="AA93" i="7"/>
  <c r="Y93" i="7"/>
  <c r="Y96" i="7"/>
  <c r="AA105" i="7"/>
  <c r="Y105" i="7"/>
  <c r="Y108" i="7"/>
  <c r="AA117" i="7"/>
  <c r="Y117" i="7"/>
  <c r="Y120" i="7"/>
  <c r="AA137" i="7"/>
  <c r="Z137" i="7"/>
  <c r="Y137" i="7"/>
  <c r="Z144" i="7"/>
  <c r="Y168" i="7"/>
  <c r="AA185" i="7"/>
  <c r="Z185" i="7"/>
  <c r="Y185" i="7"/>
  <c r="Z192" i="7"/>
  <c r="Y212" i="7"/>
  <c r="G17" i="3"/>
  <c r="E29" i="3"/>
  <c r="M8" i="3"/>
  <c r="F9" i="3"/>
  <c r="K10" i="3"/>
  <c r="I12" i="3"/>
  <c r="N13" i="3"/>
  <c r="G14" i="3"/>
  <c r="S14" i="3"/>
  <c r="L15" i="3"/>
  <c r="Q16" i="3"/>
  <c r="J17" i="3"/>
  <c r="O18" i="3"/>
  <c r="H19" i="3"/>
  <c r="T19" i="3"/>
  <c r="O10" i="5"/>
  <c r="D18" i="7"/>
  <c r="E18" i="7" s="1"/>
  <c r="U22" i="7"/>
  <c r="Y22" i="7" s="1"/>
  <c r="Z27" i="7"/>
  <c r="Y42" i="7"/>
  <c r="Z43" i="7"/>
  <c r="Z47" i="7"/>
  <c r="AA60" i="7"/>
  <c r="Z63" i="7"/>
  <c r="AA76" i="7"/>
  <c r="Z79" i="7"/>
  <c r="Z124" i="7"/>
  <c r="AA144" i="7"/>
  <c r="Y148" i="7"/>
  <c r="AA165" i="7"/>
  <c r="Z165" i="7"/>
  <c r="Y165" i="7"/>
  <c r="Z172" i="7"/>
  <c r="AA192" i="7"/>
  <c r="Y196" i="7"/>
  <c r="Y210" i="7"/>
  <c r="H14" i="3"/>
  <c r="T14" i="3"/>
  <c r="K17" i="3"/>
  <c r="P18" i="3"/>
  <c r="E27" i="3"/>
  <c r="R29" i="3"/>
  <c r="E34" i="3"/>
  <c r="C11" i="5"/>
  <c r="Y53" i="7"/>
  <c r="AA61" i="7"/>
  <c r="Y69" i="7"/>
  <c r="AA77" i="7"/>
  <c r="Z85" i="7"/>
  <c r="Z88" i="7"/>
  <c r="Z97" i="7"/>
  <c r="Z100" i="7"/>
  <c r="Z109" i="7"/>
  <c r="Z112" i="7"/>
  <c r="AA124" i="7"/>
  <c r="Y128" i="7"/>
  <c r="AA145" i="7"/>
  <c r="Z145" i="7"/>
  <c r="Y145" i="7"/>
  <c r="Z152" i="7"/>
  <c r="AA172" i="7"/>
  <c r="Y176" i="7"/>
  <c r="AA193" i="7"/>
  <c r="Z193" i="7"/>
  <c r="Y193" i="7"/>
  <c r="Z200" i="7"/>
  <c r="P17" i="3"/>
  <c r="P14" i="3"/>
  <c r="B7" i="1"/>
  <c r="O8" i="3"/>
  <c r="M10" i="3"/>
  <c r="K12" i="3"/>
  <c r="I14" i="3"/>
  <c r="G16" i="3"/>
  <c r="S16" i="3"/>
  <c r="L17" i="3"/>
  <c r="E18" i="3"/>
  <c r="Q18" i="3"/>
  <c r="J19" i="3"/>
  <c r="C12" i="5"/>
  <c r="Y48" i="7"/>
  <c r="Z53" i="7"/>
  <c r="Z56" i="7"/>
  <c r="Y59" i="7"/>
  <c r="Y64" i="7"/>
  <c r="Z69" i="7"/>
  <c r="Z72" i="7"/>
  <c r="Y75" i="7"/>
  <c r="Y80" i="7"/>
  <c r="AA88" i="7"/>
  <c r="AA100" i="7"/>
  <c r="AA112" i="7"/>
  <c r="AA125" i="7"/>
  <c r="Z125" i="7"/>
  <c r="Y125" i="7"/>
  <c r="Y156" i="7"/>
  <c r="AA173" i="7"/>
  <c r="Z173" i="7"/>
  <c r="Y173" i="7"/>
  <c r="Y204" i="7"/>
  <c r="H16" i="3"/>
  <c r="F18" i="3"/>
  <c r="AA56" i="7"/>
  <c r="AA72" i="7"/>
  <c r="AA89" i="7"/>
  <c r="Y89" i="7"/>
  <c r="Y92" i="7"/>
  <c r="AA101" i="7"/>
  <c r="Y101" i="7"/>
  <c r="Y104" i="7"/>
  <c r="AA113" i="7"/>
  <c r="Y113" i="7"/>
  <c r="Y116" i="7"/>
  <c r="AA132" i="7"/>
  <c r="Y136" i="7"/>
  <c r="AA153" i="7"/>
  <c r="Z153" i="7"/>
  <c r="Y153" i="7"/>
  <c r="Z160" i="7"/>
  <c r="AA180" i="7"/>
  <c r="Y184" i="7"/>
  <c r="AA201" i="7"/>
  <c r="Z201" i="7"/>
  <c r="Y201" i="7"/>
  <c r="Z208" i="7"/>
  <c r="Y215" i="7"/>
  <c r="Z215" i="7"/>
  <c r="Y214" i="7"/>
  <c r="Y213" i="7"/>
  <c r="Z213" i="7"/>
  <c r="Y216" i="7"/>
  <c r="Z216" i="7"/>
  <c r="E21" i="7" l="1"/>
  <c r="I27" i="4"/>
  <c r="E23" i="7"/>
  <c r="I28" i="4"/>
  <c r="B6" i="4"/>
  <c r="K28" i="4" l="1"/>
  <c r="J28" i="4"/>
  <c r="J27" i="4"/>
  <c r="K27" i="4"/>
  <c r="O12" i="5"/>
  <c r="J6" i="4"/>
  <c r="J9" i="4" s="1"/>
  <c r="L30" i="1"/>
</calcChain>
</file>

<file path=xl/sharedStrings.xml><?xml version="1.0" encoding="utf-8"?>
<sst xmlns="http://schemas.openxmlformats.org/spreadsheetml/2006/main" count="920" uniqueCount="281">
  <si>
    <t>SubscriptionOS — Subscription Control Dashboard</t>
  </si>
  <si>
    <t>Track • Optimize • Forecast • Save</t>
  </si>
  <si>
    <t>Total Monthly Cost</t>
  </si>
  <si>
    <t>Annual Subscription Cost</t>
  </si>
  <si>
    <t>Active Services</t>
  </si>
  <si>
    <t>Upcoming Renewals</t>
  </si>
  <si>
    <t>↗ +5% vs last month   ▂▃▅▆█</t>
  </si>
  <si>
    <t>Forecast line   ▁▂▃▅▆</t>
  </si>
  <si>
    <t>Software • Cloud • Media   ●●●●○○</t>
  </si>
  <si>
    <t>Next 45 days   May ▬ Jun ▬ Jul</t>
  </si>
  <si>
    <t>Subscription Cost Distribution</t>
  </si>
  <si>
    <t>Portfolio Health</t>
  </si>
  <si>
    <t>Live allocation across active services</t>
  </si>
  <si>
    <t>Risk, efficiency and savings signals</t>
  </si>
  <si>
    <t>Avg Subscription Price</t>
  </si>
  <si>
    <t>●●●●●●○○○○</t>
  </si>
  <si>
    <t>Renewal Risk</t>
  </si>
  <si>
    <t>●●●●●●●●○○</t>
  </si>
  <si>
    <t>Health Score</t>
  </si>
  <si>
    <t>Savings Potential</t>
  </si>
  <si>
    <t>Monthly Total</t>
  </si>
  <si>
    <t>●●●○○○○○○○</t>
  </si>
  <si>
    <t>Year Overview</t>
  </si>
  <si>
    <t>Metric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</si>
  <si>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</si>
  <si>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</si>
  <si>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</si>
  <si>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</si>
  <si>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</si>
  <si>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</si>
  <si>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</si>
  <si>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</si>
  <si>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</si>
  <si>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</si>
  <si>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</si>
  <si>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</si>
  <si>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Variance</t>
  </si>
  <si>
    <t>Monthly Spend</t>
  </si>
  <si>
    <t>Annual Projection</t>
  </si>
  <si>
    <t>Savings</t>
  </si>
  <si>
    <t>Renewals</t>
  </si>
  <si>
    <t>Optimization</t>
  </si>
  <si>
    <t>Legend</t>
  </si>
  <si>
    <t>Cool</t>
  </si>
  <si>
    <t>Stable</t>
  </si>
  <si>
    <t>High</t>
  </si>
  <si>
    <t>Review</t>
  </si>
  <si>
    <t>Subscriptions</t>
  </si>
  <si>
    <t>Track active services, billing cadence, renewal dates, utilization, and action recommendations.</t>
  </si>
  <si>
    <t>Service</t>
  </si>
  <si>
    <t>Category</t>
  </si>
  <si>
    <t>Amount</t>
  </si>
  <si>
    <t>Currency</t>
  </si>
  <si>
    <t>Frequency</t>
  </si>
  <si>
    <t>Monthly USD</t>
  </si>
  <si>
    <t>Start</t>
  </si>
  <si>
    <t>Renewal</t>
  </si>
  <si>
    <t>Status</t>
  </si>
  <si>
    <t>Auto Renew</t>
  </si>
  <si>
    <t>Last Used</t>
  </si>
  <si>
    <t>Utilization</t>
  </si>
  <si>
    <t>Recommendation</t>
  </si>
  <si>
    <t>Notes</t>
  </si>
  <si>
    <t>💠 Adobe Creative Cloud</t>
  </si>
  <si>
    <t>Software</t>
  </si>
  <si>
    <t>USD</t>
  </si>
  <si>
    <t>Monthly</t>
  </si>
  <si>
    <t>Active</t>
  </si>
  <si>
    <t>Yes</t>
  </si>
  <si>
    <t>Creative suite; review seat count before renewal.</t>
  </si>
  <si>
    <t>🤖 ChatGPT Plus</t>
  </si>
  <si>
    <t>Keep</t>
  </si>
  <si>
    <t>High utilization; core workflow subscription.</t>
  </si>
  <si>
    <t>🎨 Figma Professional</t>
  </si>
  <si>
    <t>Productivity</t>
  </si>
  <si>
    <t>Switch to Annual</t>
  </si>
  <si>
    <t>Annual billing may reduce design tool cost.</t>
  </si>
  <si>
    <t>🧠 Notion Plus</t>
  </si>
  <si>
    <t>Documentation hub and planning workspace.</t>
  </si>
  <si>
    <t>☁️ Dropbox Plus</t>
  </si>
  <si>
    <t>Cloud</t>
  </si>
  <si>
    <t>Annual</t>
  </si>
  <si>
    <t>Downgrade</t>
  </si>
  <si>
    <t>Storage plan may be oversized.</t>
  </si>
  <si>
    <t>&lt;/&gt; GitHub Copilot</t>
  </si>
  <si>
    <t>Developer productivity subscription.</t>
  </si>
  <si>
    <t>🎬 Netflix</t>
  </si>
  <si>
    <t>Entertainment</t>
  </si>
  <si>
    <t>Potential overlap with other entertainment services.</t>
  </si>
  <si>
    <t>🎧 Spotify</t>
  </si>
  <si>
    <t>Personal media subscription.</t>
  </si>
  <si>
    <t>☁️ iCloud+</t>
  </si>
  <si>
    <t>Low-cost storage layer.</t>
  </si>
  <si>
    <t>🔐 NordVPN</t>
  </si>
  <si>
    <t>Utilities</t>
  </si>
  <si>
    <t>Cancel</t>
  </si>
  <si>
    <t>Low utilization; consider canceling before annual renewal.</t>
  </si>
  <si>
    <t>🎓 Skillshare</t>
  </si>
  <si>
    <t>Education</t>
  </si>
  <si>
    <t>No</t>
  </si>
  <si>
    <t>Unused learning subscription.</t>
  </si>
  <si>
    <t>30-day renewal timeline, calendar view, upcoming charges, monthly projections, and countdown badges.</t>
  </si>
  <si>
    <t>30-Day Timeline</t>
  </si>
  <si>
    <t>Countdown</t>
  </si>
  <si>
    <t>Upcoming Charges</t>
  </si>
  <si>
    <t>Monthly Projections</t>
  </si>
  <si>
    <t>● Today</t>
  </si>
  <si>
    <t>● Renewal</t>
  </si>
  <si>
    <t>● Weekend</t>
  </si>
  <si>
    <t>Auto</t>
  </si>
  <si>
    <t>Mon</t>
  </si>
  <si>
    <t>Tue</t>
  </si>
  <si>
    <t>Wed</t>
  </si>
  <si>
    <t>Thu</t>
  </si>
  <si>
    <t>Fri</t>
  </si>
  <si>
    <t>Sat</t>
  </si>
  <si>
    <t>Sun</t>
  </si>
  <si>
    <t>Month</t>
  </si>
  <si>
    <t>Projected Charges</t>
  </si>
  <si>
    <t>Risk</t>
  </si>
  <si>
    <t>Signal</t>
  </si>
  <si>
    <t>25  Today</t>
  </si>
  <si>
    <t>26</t>
  </si>
  <si>
    <t>27</t>
  </si>
  <si>
    <t>28</t>
  </si>
  <si>
    <t>29</t>
  </si>
  <si>
    <t>30</t>
  </si>
  <si>
    <t>31</t>
  </si>
  <si>
    <t>1</t>
  </si>
  <si>
    <t>2
💠 Adobe Creative Cloud
$60</t>
  </si>
  <si>
    <t>3</t>
  </si>
  <si>
    <t>4</t>
  </si>
  <si>
    <t>5</t>
  </si>
  <si>
    <t>6</t>
  </si>
  <si>
    <t>7</t>
  </si>
  <si>
    <t>8</t>
  </si>
  <si>
    <t>9
🤖 ChatGPT Plus
$20</t>
  </si>
  <si>
    <t>10</t>
  </si>
  <si>
    <t>11</t>
  </si>
  <si>
    <t>12
🎨 Figma Professional
$20</t>
  </si>
  <si>
    <t>13</t>
  </si>
  <si>
    <t>14</t>
  </si>
  <si>
    <t>15</t>
  </si>
  <si>
    <t>16</t>
  </si>
  <si>
    <t>17
🧠 Notion Plus
$10</t>
  </si>
  <si>
    <t>18</t>
  </si>
  <si>
    <t>19</t>
  </si>
  <si>
    <t>20</t>
  </si>
  <si>
    <t>21
☁️ Dropbox Plus
$12</t>
  </si>
  <si>
    <t>22</t>
  </si>
  <si>
    <t>23</t>
  </si>
  <si>
    <t>24</t>
  </si>
  <si>
    <t>25
&lt;/&gt; GitHub Copilot
$10</t>
  </si>
  <si>
    <t>29
🎬 Netflix
$15</t>
  </si>
  <si>
    <t>2
🎧 Spotify
$11</t>
  </si>
  <si>
    <t>5
☁️ iCloud+
$3</t>
  </si>
  <si>
    <t>Identify duplicate subscriptions, unused services, downgrade candidates, price increases, and annual savings.</t>
  </si>
  <si>
    <t>Potential Saving</t>
  </si>
  <si>
    <t>Actions Detected</t>
  </si>
  <si>
    <t>Optimization Health</t>
  </si>
  <si>
    <t>Annualized from detected optimization opportunities</t>
  </si>
  <si>
    <t>Review before renewal or billing changes</t>
  </si>
  <si>
    <t>Duplicate Subscriptions</t>
  </si>
  <si>
    <t>Unused Subscriptions</t>
  </si>
  <si>
    <t>Monthly Saving</t>
  </si>
  <si>
    <t>Action</t>
  </si>
  <si>
    <t>Annual Saving</t>
  </si>
  <si>
    <t>✍️ Grammarly</t>
  </si>
  <si>
    <t>Downgrade Candidates</t>
  </si>
  <si>
    <t>Price Increases</t>
  </si>
  <si>
    <t>Previous</t>
  </si>
  <si>
    <t>Current</t>
  </si>
  <si>
    <t>Increase</t>
  </si>
  <si>
    <t>Analytics</t>
  </si>
  <si>
    <t>Category spend, cost growth, monthly trends, subscription ranking, top cost drivers, and forecast.</t>
  </si>
  <si>
    <t>Category Spend</t>
  </si>
  <si>
    <t>Cost Growth</t>
  </si>
  <si>
    <t>Value</t>
  </si>
  <si>
    <t>Delta</t>
  </si>
  <si>
    <t>Current Monthly</t>
  </si>
  <si>
    <t>+5%</t>
  </si>
  <si>
    <t>Rising</t>
  </si>
  <si>
    <t>Annual Run Rate</t>
  </si>
  <si>
    <t>+12%</t>
  </si>
  <si>
    <t>Watch</t>
  </si>
  <si>
    <t>Average Price</t>
  </si>
  <si>
    <t>+3%</t>
  </si>
  <si>
    <t>Forecast Year-End</t>
  </si>
  <si>
    <t>+$528</t>
  </si>
  <si>
    <t>Savings Found</t>
  </si>
  <si>
    <t>+$763</t>
  </si>
  <si>
    <t>Positive</t>
  </si>
  <si>
    <t>Other</t>
  </si>
  <si>
    <t>Monthly Trends</t>
  </si>
  <si>
    <t>Spend</t>
  </si>
  <si>
    <t>Forecast</t>
  </si>
  <si>
    <t>Subscription Ranking</t>
  </si>
  <si>
    <t>Rank</t>
  </si>
  <si>
    <t>Driver</t>
  </si>
  <si>
    <t>Highest cost</t>
  </si>
  <si>
    <t>High value</t>
  </si>
  <si>
    <t>Review billing</t>
  </si>
  <si>
    <t>Low utilization</t>
  </si>
  <si>
    <t>Unused</t>
  </si>
  <si>
    <t>Plan sizing</t>
  </si>
  <si>
    <t>Unused risk</t>
  </si>
  <si>
    <t>Low cost</t>
  </si>
  <si>
    <t>Settings</t>
  </si>
  <si>
    <t>Default currency, planning windows, exchange rates, and validation lists.</t>
  </si>
  <si>
    <t>Control</t>
  </si>
  <si>
    <t>Default Currency</t>
  </si>
  <si>
    <t>Dashboard As Of Date</t>
  </si>
  <si>
    <t>Renewal Window Days</t>
  </si>
  <si>
    <t>Unused Threshold Days</t>
  </si>
  <si>
    <t>Low Utilization Threshold</t>
  </si>
  <si>
    <t>Price Increase Alert</t>
  </si>
  <si>
    <t>USD Rate</t>
  </si>
  <si>
    <t>Categories</t>
  </si>
  <si>
    <t>Accent</t>
  </si>
  <si>
    <t>Factor</t>
  </si>
  <si>
    <t>#5B7CFF</t>
  </si>
  <si>
    <t>EUR</t>
  </si>
  <si>
    <t>#FFB020</t>
  </si>
  <si>
    <t>GBP</t>
  </si>
  <si>
    <t>#17A2B8</t>
  </si>
  <si>
    <t>Quarterly</t>
  </si>
  <si>
    <t>AUD</t>
  </si>
  <si>
    <t>#7C3AED</t>
  </si>
  <si>
    <t>Weekly</t>
  </si>
  <si>
    <t>CAD</t>
  </si>
  <si>
    <t>#475467</t>
  </si>
  <si>
    <t>One-time</t>
  </si>
  <si>
    <t>INR</t>
  </si>
  <si>
    <t>#0FA958</t>
  </si>
  <si>
    <t>#98A2B3</t>
  </si>
  <si>
    <t>Design Tokens</t>
  </si>
  <si>
    <t>Hex</t>
  </si>
  <si>
    <t>Statuses</t>
  </si>
  <si>
    <t>Recommendations</t>
  </si>
  <si>
    <t>Background</t>
  </si>
  <si>
    <t>#F8FAFC</t>
  </si>
  <si>
    <t>Card</t>
  </si>
  <si>
    <t>#FFFFFF</t>
  </si>
  <si>
    <t>Paused</t>
  </si>
  <si>
    <t>Primary</t>
  </si>
  <si>
    <t>Cancelled</t>
  </si>
  <si>
    <t>Success</t>
  </si>
  <si>
    <t>Warning</t>
  </si>
  <si>
    <t>Danger</t>
  </si>
  <si>
    <t>#F04438</t>
  </si>
  <si>
    <t>Border</t>
  </si>
  <si>
    <t>#E4E7EC</t>
  </si>
  <si>
    <t>Muted</t>
  </si>
  <si>
    <t>#667085</t>
  </si>
  <si>
    <t>Database</t>
  </si>
  <si>
    <t>Helper calculations for charts, trend cards, and dashboard summaries.</t>
  </si>
  <si>
    <t>Previous Monthly</t>
  </si>
  <si>
    <t>Duplicate Flag</t>
  </si>
  <si>
    <t>Unused Flag</t>
  </si>
  <si>
    <t>Downgrade Flag</t>
  </si>
  <si>
    <t>Guide</t>
  </si>
  <si>
    <t>A quick operating guide for SubscriptionOS.</t>
  </si>
  <si>
    <t>Step</t>
  </si>
  <si>
    <t>Editable Areas</t>
  </si>
  <si>
    <t>Open Settings and confirm default currency, exchange rates, as-of date, and renewal window.</t>
  </si>
  <si>
    <t>Rows 6:205 are ready for services, renewal dates, usage and recommendations.</t>
  </si>
  <si>
    <t>2</t>
  </si>
  <si>
    <t>Add or edit services on the Subscriptions tab. Monthly USD is formula-driven.</t>
  </si>
  <si>
    <t>Currency, thresholds, and exchange rates can be changed for global use.</t>
  </si>
  <si>
    <t>Review Renewals before charges hit. Countdown values use the Settings as-of date.</t>
  </si>
  <si>
    <t>Action tables are designed as review queues; replace examples with your current review findings.</t>
  </si>
  <si>
    <t>Use Optimization to identify duplicate, unused, downgrade, and price-increase opportunities.</t>
  </si>
  <si>
    <t>Chart helper ranges are formula-linked to subscriptions and database trend values.</t>
  </si>
  <si>
    <t>Use Analytics for category spend, monthly trend, ranking, drivers, and forecast review.</t>
  </si>
  <si>
    <t>Dashboard</t>
  </si>
  <si>
    <t>Executive summary updates from live subscription rows and helper metrics.</t>
  </si>
  <si>
    <t>Keep Database hidden; it stores helper values for charts and summary sections.</t>
  </si>
  <si>
    <t>Design Notes</t>
  </si>
  <si>
    <t>This template uses a modern white, soft blue, and premium gray system with light cards, minimal borders, and large KPI hierarchy.</t>
  </si>
  <si>
    <t>The Database tab is intentionally hidden after export when supported by the spreadsheet host.</t>
  </si>
  <si>
    <t>Google Sheets import tip: upload the .xlsx to Google Drive and open with Google Sheets to preserve formulas, sheets, and charts.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</si>
</sst>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yyyy\-mm\-dd"/>
    <numFmt numFmtId="165" formatCode="0.000"/>
    <numFmt numFmtId="166" formatCode="\$#,##0.00"/>
    <numFmt numFmtId="167" formatCode="\$#,##0"/>
    <numFmt numFmtId="168" formatCode="0.0%"/>
  </numFmts>
  <fonts count="45">
    <font>
      <sz val="11"/>
      <name val="Carlito"/>
    </font>
    <font>
      <sz val="10"/>
      <color rgb="FF111827"/>
      <name val="Inter"/>
    </font>
    <font>
      <b/>
      <sz val="24"/>
      <color rgb="FF111827"/>
      <name val="DM Sans"/>
    </font>
    <font>
      <sz val="10"/>
      <color rgb="FF667085"/>
      <name val="Inter"/>
    </font>
    <font>
      <b/>
      <sz val="10"/>
      <color rgb="FF111827"/>
      <name val="DM Sans"/>
    </font>
    <font>
      <b/>
      <sz val="22"/>
      <color rgb="FF111827"/>
      <name val="DM Sans"/>
    </font>
    <font>
      <sz val="9"/>
      <color rgb="FF667085"/>
      <name val="Inter"/>
    </font>
    <font>
      <b/>
      <sz val="28"/>
      <color rgb="FF182230"/>
      <name val="DM Sans"/>
    </font>
    <font>
      <b/>
      <sz val="10"/>
      <color rgb="FF5B7CFF"/>
      <name val="Inter"/>
    </font>
    <font>
      <sz val="11"/>
      <color rgb="FF667085"/>
      <name val="Inter"/>
    </font>
    <font>
      <b/>
      <sz val="10"/>
      <color rgb="FF667085"/>
      <name val="Inter"/>
    </font>
    <font>
      <b/>
      <sz val="31"/>
      <color rgb="FF182230"/>
      <name val="DM Sans"/>
    </font>
    <font>
      <b/>
      <sz val="9"/>
      <color rgb="FF5B7CFF"/>
      <name val="Inter"/>
    </font>
    <font>
      <b/>
      <sz val="9"/>
      <color rgb="FF17A2B8"/>
      <name val="Inter"/>
    </font>
    <font>
      <b/>
      <sz val="9"/>
      <color rgb="FF0FA958"/>
      <name val="Inter"/>
    </font>
    <font>
      <b/>
      <sz val="9"/>
      <color rgb="FFFFB020"/>
      <name val="Inter"/>
    </font>
    <font>
      <b/>
      <sz val="13"/>
      <color rgb="FF182230"/>
      <name val="DM Sans"/>
    </font>
    <font>
      <b/>
      <sz val="22"/>
      <color rgb="FF5B7CFF"/>
      <name val="DM Sans"/>
    </font>
    <font>
      <b/>
      <sz val="18"/>
      <color rgb="FF182230"/>
      <name val="DM Sans"/>
    </font>
    <font>
      <sz val="11"/>
      <color rgb="FF5B7CFF"/>
      <name val="Inter"/>
    </font>
    <font>
      <sz val="11"/>
      <color rgb="FFFFB020"/>
      <name val="Inter"/>
    </font>
    <font>
      <sz val="11"/>
      <color rgb="FF0FA958"/>
      <name val="Inter"/>
    </font>
    <font>
      <b/>
      <sz val="10"/>
      <color rgb="FFFFFFFF"/>
      <name val="DM Sans"/>
    </font>
    <font>
      <b/>
      <sz val="10"/>
      <color rgb="FF344054"/>
      <name val="Inter"/>
    </font>
    <font>
      <b/>
      <sz val="9"/>
      <color rgb="FF111827"/>
      <name val="Inter"/>
    </font>
    <font>
      <sz val="9"/>
      <color rgb="FFEFF6FF"/>
      <name val="Inter"/>
    </font>
    <font>
      <sz val="9"/>
      <color rgb="FFDCE6FF"/>
      <name val="Inter"/>
    </font>
    <font>
      <sz val="9"/>
      <color rgb="FFBECBFF"/>
      <name val="Inter"/>
    </font>
    <font>
      <sz val="9"/>
      <color rgb="FFFFF0CC"/>
      <name val="Inter"/>
    </font>
    <font>
      <b/>
      <sz val="13"/>
      <color rgb="FF111827"/>
      <name val="DM Sans"/>
    </font>
    <font>
      <sz val="9"/>
      <color rgb="FF111827"/>
      <name val="Inter"/>
    </font>
    <font>
      <b/>
      <sz val="12"/>
      <color rgb="FF5B7CFF"/>
      <name val="Inter"/>
    </font>
    <font>
      <b/>
      <sz val="9"/>
      <color rgb="FF667085"/>
      <name val="Inter"/>
    </font>
    <font>
      <b/>
      <sz val="12"/>
      <color rgb="FFFFFFFF"/>
      <name val="DM Sans"/>
    </font>
    <font>
      <b/>
      <sz val="9"/>
      <color rgb="FFFFFFFF"/>
      <name val="Inter"/>
    </font>
    <font>
      <b/>
      <sz val="10"/>
      <color rgb="FF344054"/>
      <name val="DM Sans"/>
    </font>
    <font>
      <sz val="8"/>
      <color rgb="FF111827"/>
      <name val="Inter"/>
    </font>
    <font>
      <sz val="8"/>
      <color rgb="FF667085"/>
      <name val="Inter"/>
    </font>
    <font>
      <b/>
      <sz val="8"/>
      <color rgb="FFFFFFFF"/>
      <name val="Inter"/>
    </font>
    <font>
      <b/>
      <sz val="8"/>
      <color rgb="FF5B7CFF"/>
      <name val="Inter"/>
    </font>
    <font>
      <b/>
      <sz val="8"/>
      <color rgb="FFFFB020"/>
      <name val="Inter"/>
    </font>
    <font>
      <b/>
      <sz val="8"/>
      <color rgb="FF0FA958"/>
      <name val="Inter"/>
    </font>
    <font>
      <b/>
      <sz val="32"/>
      <color rgb="FF0FA958"/>
      <name val="DM Sans"/>
    </font>
    <font>
      <b/>
      <sz val="28"/>
      <color rgb="FF111827"/>
      <name val="DM Sans"/>
    </font>
    <font>
      <b/>
      <sz val="28"/>
      <color rgb="FF5B7CFF"/>
      <name val="DM Sans"/>
    </font>
  </fonts>
  <fills count="46">
    <fill>
      <patternFill patternType="none"/>
    </fill>
    <fill>
      <patternFill patternType="gray125"/>
    </fill>
    <fill>
      <patternFill patternType="solid">
        <fgColor rgb="FFF8FAFC"/>
      </patternFill>
    </fill>
    <fill>
      <patternFill patternType="solid">
        <fgColor rgb="FFFFFFFF"/>
      </patternFill>
    </fill>
    <fill>
      <patternFill patternType="solid">
        <fgColor rgb="FFEEF2FF"/>
      </patternFill>
    </fill>
    <fill>
      <patternFill patternType="solid">
        <fgColor rgb="FFEEF4FF"/>
      </patternFill>
    </fill>
    <fill>
      <patternFill patternType="solid">
        <fgColor rgb="FFD9E6FF"/>
      </patternFill>
    </fill>
    <fill>
      <patternFill patternType="solid">
        <fgColor rgb="FFEAF8FB"/>
      </patternFill>
    </fill>
    <fill>
      <patternFill patternType="solid">
        <fgColor rgb="FFEAF8F0"/>
      </patternFill>
    </fill>
    <fill>
      <patternFill patternType="solid">
        <fgColor rgb="FFFFF7E6"/>
      </patternFill>
    </fill>
    <fill>
      <patternFill patternType="solid">
        <fgColor rgb="FFF6F8FF"/>
      </patternFill>
    </fill>
    <fill>
      <patternFill patternType="solid">
        <fgColor rgb="FFF4F6FF"/>
      </patternFill>
    </fill>
    <fill>
      <patternFill patternType="solid">
        <fgColor rgb="FFFFF8E8"/>
      </patternFill>
    </fill>
    <fill>
      <patternFill patternType="solid">
        <fgColor rgb="FFECFDF3"/>
      </patternFill>
    </fill>
    <fill>
      <patternFill patternType="solid">
        <fgColor rgb="FF182230"/>
      </patternFill>
    </fill>
    <fill>
      <patternFill patternType="solid">
        <fgColor rgb="FFFBFCFF"/>
      </patternFill>
    </fill>
    <fill>
      <patternFill patternType="solid">
        <fgColor rgb="FFEFF6FF"/>
      </patternFill>
    </fill>
    <fill>
      <patternFill patternType="solid">
        <fgColor rgb="FFEAF0FF"/>
      </patternFill>
    </fill>
    <fill>
      <patternFill patternType="solid">
        <fgColor rgb="FFE3EBFF"/>
      </patternFill>
    </fill>
    <fill>
      <patternFill patternType="solid">
        <fgColor rgb="FFDCE6FF"/>
      </patternFill>
    </fill>
    <fill>
      <patternFill patternType="solid">
        <fgColor rgb="FFD6E1FF"/>
      </patternFill>
    </fill>
    <fill>
      <patternFill patternType="solid">
        <fgColor rgb="FFD2DEFF"/>
      </patternFill>
    </fill>
    <fill>
      <patternFill patternType="solid">
        <fgColor rgb="FFCDD9FF"/>
      </patternFill>
    </fill>
    <fill>
      <patternFill patternType="solid">
        <fgColor rgb="FFCEDAFF"/>
      </patternFill>
    </fill>
    <fill>
      <patternFill patternType="solid">
        <fgColor rgb="FFC7D4FF"/>
      </patternFill>
    </fill>
    <fill>
      <patternFill patternType="solid">
        <fgColor rgb="FFC3D1FF"/>
      </patternFill>
    </fill>
    <fill>
      <patternFill patternType="solid">
        <fgColor rgb="FFBECBFF"/>
      </patternFill>
    </fill>
    <fill>
      <patternFill patternType="solid">
        <fgColor rgb="FFE8FAEF"/>
      </patternFill>
    </fill>
    <fill>
      <patternFill patternType="solid">
        <fgColor rgb="FFE2F7EA"/>
      </patternFill>
    </fill>
    <fill>
      <patternFill patternType="solid">
        <fgColor rgb="FFDDF5E6"/>
      </patternFill>
    </fill>
    <fill>
      <patternFill patternType="solid">
        <fgColor rgb="FFD8F3E1"/>
      </patternFill>
    </fill>
    <fill>
      <patternFill patternType="solid">
        <fgColor rgb="FFD1F0DC"/>
      </patternFill>
    </fill>
    <fill>
      <patternFill patternType="solid">
        <fgColor rgb="FFCBEED7"/>
      </patternFill>
    </fill>
    <fill>
      <patternFill patternType="solid">
        <fgColor rgb="FFC5EBD1"/>
      </patternFill>
    </fill>
    <fill>
      <patternFill patternType="solid">
        <fgColor rgb="FFBEE8CC"/>
      </patternFill>
    </fill>
    <fill>
      <patternFill patternType="solid">
        <fgColor rgb="FFB8E6C7"/>
      </patternFill>
    </fill>
    <fill>
      <patternFill patternType="solid">
        <fgColor rgb="FFB1E3C1"/>
      </patternFill>
    </fill>
    <fill>
      <patternFill patternType="solid">
        <fgColor rgb="FFAAE0BC"/>
      </patternFill>
    </fill>
    <fill>
      <patternFill patternType="solid">
        <fgColor rgb="FFFFF0CC"/>
      </patternFill>
    </fill>
    <fill>
      <patternFill patternType="solid">
        <fgColor rgb="FFF2F4F7"/>
      </patternFill>
    </fill>
    <fill>
      <patternFill patternType="solid">
        <fgColor rgb="FFF1F5F9"/>
      </patternFill>
    </fill>
    <fill>
      <patternFill patternType="solid">
        <fgColor rgb="FFC8D4FF"/>
      </patternFill>
    </fill>
    <fill>
      <patternFill patternType="solid">
        <fgColor rgb="FFF5F8FF"/>
      </patternFill>
    </fill>
    <fill>
      <patternFill patternType="solid">
        <fgColor rgb="FFFAFBFC"/>
      </patternFill>
    </fill>
    <fill>
      <patternFill patternType="solid">
        <fgColor rgb="FF5B7CFF"/>
      </patternFill>
    </fill>
    <fill>
      <patternFill patternType="solid">
        <fgColor rgb="FFF9FAFB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1">
    <xf numFmtId="0" fontId="0" fillId="0" borderId="0" xfId="0"/>
    <xf numFmtId="0" fontId="1" fillId="2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164" fontId="1" fillId="3" borderId="0" xfId="0" applyNumberFormat="1" applyFont="1" applyFill="1" applyAlignment="1">
      <alignment vertical="center" wrapText="1"/>
    </xf>
    <xf numFmtId="9" fontId="1" fillId="3" borderId="0" xfId="0" applyNumberFormat="1" applyFont="1" applyFill="1" applyAlignment="1">
      <alignment vertical="center" wrapText="1"/>
    </xf>
    <xf numFmtId="165" fontId="1" fillId="3" borderId="0" xfId="0" applyNumberFormat="1" applyFont="1" applyFill="1" applyAlignment="1">
      <alignment vertical="center" wrapText="1"/>
    </xf>
    <xf numFmtId="166" fontId="1" fillId="3" borderId="0" xfId="0" applyNumberFormat="1" applyFont="1" applyFill="1" applyAlignment="1">
      <alignment vertical="center" wrapText="1"/>
    </xf>
    <xf numFmtId="167" fontId="1" fillId="3" borderId="0" xfId="0" applyNumberFormat="1" applyFont="1" applyFill="1" applyAlignment="1">
      <alignment vertical="center" wrapText="1"/>
    </xf>
    <xf numFmtId="1" fontId="1" fillId="3" borderId="0" xfId="0" applyNumberFormat="1" applyFont="1" applyFill="1" applyAlignment="1">
      <alignment vertical="center" wrapText="1"/>
    </xf>
    <xf numFmtId="168" fontId="1" fillId="3" borderId="0" xfId="0" applyNumberFormat="1" applyFont="1" applyFill="1" applyAlignment="1">
      <alignment vertical="center" wrapText="1"/>
    </xf>
    <xf numFmtId="0" fontId="1" fillId="6" borderId="0" xfId="0" applyFont="1" applyFill="1" applyAlignment="1">
      <alignment vertical="center"/>
    </xf>
    <xf numFmtId="0" fontId="1" fillId="7" borderId="0" xfId="0" applyFont="1" applyFill="1" applyAlignment="1">
      <alignment vertical="center"/>
    </xf>
    <xf numFmtId="0" fontId="1" fillId="8" borderId="0" xfId="0" applyFont="1" applyFill="1" applyAlignment="1">
      <alignment vertical="center"/>
    </xf>
    <xf numFmtId="0" fontId="1" fillId="9" borderId="0" xfId="0" applyFont="1" applyFill="1" applyAlignment="1">
      <alignment vertical="center"/>
    </xf>
    <xf numFmtId="0" fontId="22" fillId="14" borderId="0" xfId="0" applyFont="1" applyFill="1" applyAlignment="1">
      <alignment horizontal="center" vertical="center" wrapText="1"/>
    </xf>
    <xf numFmtId="0" fontId="23" fillId="15" borderId="0" xfId="0" applyFont="1" applyFill="1" applyAlignment="1">
      <alignment horizontal="left" vertical="center" wrapText="1"/>
    </xf>
    <xf numFmtId="167" fontId="1" fillId="16" borderId="0" xfId="0" applyNumberFormat="1" applyFont="1" applyFill="1" applyAlignment="1">
      <alignment horizontal="center" vertical="center" wrapText="1"/>
    </xf>
    <xf numFmtId="167" fontId="1" fillId="17" borderId="0" xfId="0" applyNumberFormat="1" applyFont="1" applyFill="1" applyAlignment="1">
      <alignment horizontal="center" vertical="center" wrapText="1"/>
    </xf>
    <xf numFmtId="167" fontId="1" fillId="18" borderId="0" xfId="0" applyNumberFormat="1" applyFont="1" applyFill="1" applyAlignment="1">
      <alignment horizontal="center" vertical="center" wrapText="1"/>
    </xf>
    <xf numFmtId="167" fontId="1" fillId="19" borderId="0" xfId="0" applyNumberFormat="1" applyFont="1" applyFill="1" applyAlignment="1">
      <alignment horizontal="center" vertical="center" wrapText="1"/>
    </xf>
    <xf numFmtId="167" fontId="1" fillId="20" borderId="0" xfId="0" applyNumberFormat="1" applyFont="1" applyFill="1" applyAlignment="1">
      <alignment horizontal="center" vertical="center" wrapText="1"/>
    </xf>
    <xf numFmtId="167" fontId="1" fillId="21" borderId="0" xfId="0" applyNumberFormat="1" applyFont="1" applyFill="1" applyAlignment="1">
      <alignment horizontal="center" vertical="center" wrapText="1"/>
    </xf>
    <xf numFmtId="167" fontId="1" fillId="22" borderId="0" xfId="0" applyNumberFormat="1" applyFont="1" applyFill="1" applyAlignment="1">
      <alignment horizontal="center" vertical="center" wrapText="1"/>
    </xf>
    <xf numFmtId="167" fontId="1" fillId="23" borderId="0" xfId="0" applyNumberFormat="1" applyFont="1" applyFill="1" applyAlignment="1">
      <alignment horizontal="center" vertical="center" wrapText="1"/>
    </xf>
    <xf numFmtId="167" fontId="1" fillId="24" borderId="0" xfId="0" applyNumberFormat="1" applyFont="1" applyFill="1" applyAlignment="1">
      <alignment horizontal="center" vertical="center" wrapText="1"/>
    </xf>
    <xf numFmtId="167" fontId="1" fillId="25" borderId="0" xfId="0" applyNumberFormat="1" applyFont="1" applyFill="1" applyAlignment="1">
      <alignment horizontal="center" vertical="center" wrapText="1"/>
    </xf>
    <xf numFmtId="167" fontId="1" fillId="26" borderId="0" xfId="0" applyNumberFormat="1" applyFont="1" applyFill="1" applyAlignment="1">
      <alignment horizontal="center" vertical="center" wrapText="1"/>
    </xf>
    <xf numFmtId="167" fontId="1" fillId="13" borderId="0" xfId="0" applyNumberFormat="1" applyFont="1" applyFill="1" applyAlignment="1">
      <alignment horizontal="center" vertical="center" wrapText="1"/>
    </xf>
    <xf numFmtId="167" fontId="1" fillId="27" borderId="0" xfId="0" applyNumberFormat="1" applyFont="1" applyFill="1" applyAlignment="1">
      <alignment horizontal="center" vertical="center" wrapText="1"/>
    </xf>
    <xf numFmtId="167" fontId="1" fillId="28" borderId="0" xfId="0" applyNumberFormat="1" applyFont="1" applyFill="1" applyAlignment="1">
      <alignment horizontal="center" vertical="center" wrapText="1"/>
    </xf>
    <xf numFmtId="167" fontId="1" fillId="29" borderId="0" xfId="0" applyNumberFormat="1" applyFont="1" applyFill="1" applyAlignment="1">
      <alignment horizontal="center" vertical="center" wrapText="1"/>
    </xf>
    <xf numFmtId="167" fontId="1" fillId="30" borderId="0" xfId="0" applyNumberFormat="1" applyFont="1" applyFill="1" applyAlignment="1">
      <alignment horizontal="center" vertical="center" wrapText="1"/>
    </xf>
    <xf numFmtId="167" fontId="1" fillId="31" borderId="0" xfId="0" applyNumberFormat="1" applyFont="1" applyFill="1" applyAlignment="1">
      <alignment horizontal="center" vertical="center" wrapText="1"/>
    </xf>
    <xf numFmtId="167" fontId="1" fillId="32" borderId="0" xfId="0" applyNumberFormat="1" applyFont="1" applyFill="1" applyAlignment="1">
      <alignment horizontal="center" vertical="center" wrapText="1"/>
    </xf>
    <xf numFmtId="167" fontId="1" fillId="33" borderId="0" xfId="0" applyNumberFormat="1" applyFont="1" applyFill="1" applyAlignment="1">
      <alignment horizontal="center" vertical="center" wrapText="1"/>
    </xf>
    <xf numFmtId="167" fontId="1" fillId="34" borderId="0" xfId="0" applyNumberFormat="1" applyFont="1" applyFill="1" applyAlignment="1">
      <alignment horizontal="center" vertical="center" wrapText="1"/>
    </xf>
    <xf numFmtId="167" fontId="1" fillId="35" borderId="0" xfId="0" applyNumberFormat="1" applyFont="1" applyFill="1" applyAlignment="1">
      <alignment horizontal="center" vertical="center" wrapText="1"/>
    </xf>
    <xf numFmtId="167" fontId="1" fillId="36" borderId="0" xfId="0" applyNumberFormat="1" applyFont="1" applyFill="1" applyAlignment="1">
      <alignment horizontal="center" vertical="center" wrapText="1"/>
    </xf>
    <xf numFmtId="167" fontId="1" fillId="37" borderId="0" xfId="0" applyNumberFormat="1" applyFont="1" applyFill="1" applyAlignment="1">
      <alignment horizontal="center" vertical="center" wrapText="1"/>
    </xf>
    <xf numFmtId="1" fontId="1" fillId="3" borderId="0" xfId="0" applyNumberFormat="1" applyFont="1" applyFill="1" applyAlignment="1">
      <alignment horizontal="center" vertical="center" wrapText="1"/>
    </xf>
    <xf numFmtId="1" fontId="1" fillId="38" borderId="0" xfId="0" applyNumberFormat="1" applyFont="1" applyFill="1" applyAlignment="1">
      <alignment horizontal="center" vertical="center" wrapText="1"/>
    </xf>
    <xf numFmtId="1" fontId="1" fillId="9" borderId="0" xfId="0" applyNumberFormat="1" applyFont="1" applyFill="1" applyAlignment="1">
      <alignment horizontal="center" vertical="center" wrapText="1"/>
    </xf>
    <xf numFmtId="1" fontId="1" fillId="39" borderId="0" xfId="0" applyNumberFormat="1" applyFont="1" applyFill="1" applyAlignment="1">
      <alignment horizontal="center" vertical="center" wrapText="1"/>
    </xf>
    <xf numFmtId="1" fontId="1" fillId="40" borderId="0" xfId="0" applyNumberFormat="1" applyFont="1" applyFill="1" applyAlignment="1">
      <alignment horizontal="center" vertical="center" wrapText="1"/>
    </xf>
    <xf numFmtId="1" fontId="1" fillId="16" borderId="0" xfId="0" applyNumberFormat="1" applyFont="1" applyFill="1" applyAlignment="1">
      <alignment horizontal="center" vertical="center" wrapText="1"/>
    </xf>
    <xf numFmtId="1" fontId="1" fillId="17" borderId="0" xfId="0" applyNumberFormat="1" applyFont="1" applyFill="1" applyAlignment="1">
      <alignment horizontal="center" vertical="center" wrapText="1"/>
    </xf>
    <xf numFmtId="1" fontId="1" fillId="18" borderId="0" xfId="0" applyNumberFormat="1" applyFont="1" applyFill="1" applyAlignment="1">
      <alignment horizontal="center" vertical="center" wrapText="1"/>
    </xf>
    <xf numFmtId="1" fontId="1" fillId="19" borderId="0" xfId="0" applyNumberFormat="1" applyFont="1" applyFill="1" applyAlignment="1">
      <alignment horizontal="center" vertical="center" wrapText="1"/>
    </xf>
    <xf numFmtId="1" fontId="1" fillId="20" borderId="0" xfId="0" applyNumberFormat="1" applyFont="1" applyFill="1" applyAlignment="1">
      <alignment horizontal="center" vertical="center" wrapText="1"/>
    </xf>
    <xf numFmtId="1" fontId="1" fillId="21" borderId="0" xfId="0" applyNumberFormat="1" applyFont="1" applyFill="1" applyAlignment="1">
      <alignment horizontal="center" vertical="center" wrapText="1"/>
    </xf>
    <xf numFmtId="1" fontId="1" fillId="22" borderId="0" xfId="0" applyNumberFormat="1" applyFont="1" applyFill="1" applyAlignment="1">
      <alignment horizontal="center" vertical="center" wrapText="1"/>
    </xf>
    <xf numFmtId="1" fontId="1" fillId="41" borderId="0" xfId="0" applyNumberFormat="1" applyFont="1" applyFill="1" applyAlignment="1">
      <alignment horizontal="center" vertical="center" wrapText="1"/>
    </xf>
    <xf numFmtId="1" fontId="1" fillId="25" borderId="0" xfId="0" applyNumberFormat="1" applyFont="1" applyFill="1" applyAlignment="1">
      <alignment horizontal="center" vertical="center" wrapText="1"/>
    </xf>
    <xf numFmtId="1" fontId="1" fillId="26" borderId="0" xfId="0" applyNumberFormat="1" applyFont="1" applyFill="1" applyAlignment="1">
      <alignment horizontal="center" vertical="center" wrapText="1"/>
    </xf>
    <xf numFmtId="0" fontId="24" fillId="3" borderId="0" xfId="0" applyFont="1" applyFill="1" applyAlignment="1">
      <alignment horizontal="left" vertical="center" wrapText="1"/>
    </xf>
    <xf numFmtId="0" fontId="25" fillId="16" borderId="0" xfId="0" applyFont="1" applyFill="1" applyAlignment="1">
      <alignment horizontal="center" vertical="center" wrapText="1"/>
    </xf>
    <xf numFmtId="0" fontId="26" fillId="19" borderId="0" xfId="0" applyFont="1" applyFill="1" applyAlignment="1">
      <alignment horizontal="center" vertical="center" wrapText="1"/>
    </xf>
    <xf numFmtId="0" fontId="27" fillId="26" borderId="0" xfId="0" applyFont="1" applyFill="1" applyAlignment="1">
      <alignment horizontal="center" vertical="center" wrapText="1"/>
    </xf>
    <xf numFmtId="0" fontId="28" fillId="38" borderId="0" xfId="0" applyFont="1" applyFill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24" fillId="4" borderId="0" xfId="0" applyFont="1" applyFill="1" applyAlignment="1">
      <alignment horizontal="center" vertical="center"/>
    </xf>
    <xf numFmtId="0" fontId="30" fillId="3" borderId="0" xfId="0" applyFont="1" applyFill="1" applyAlignment="1">
      <alignment vertical="center"/>
    </xf>
    <xf numFmtId="164" fontId="30" fillId="3" borderId="0" xfId="0" applyNumberFormat="1" applyFont="1" applyFill="1" applyAlignment="1">
      <alignment vertical="center"/>
    </xf>
    <xf numFmtId="1" fontId="30" fillId="3" borderId="0" xfId="0" applyNumberFormat="1" applyFont="1" applyFill="1" applyAlignment="1">
      <alignment vertical="center"/>
    </xf>
    <xf numFmtId="166" fontId="30" fillId="3" borderId="0" xfId="0" applyNumberFormat="1" applyFont="1" applyFill="1" applyAlignment="1">
      <alignment vertical="center"/>
    </xf>
    <xf numFmtId="0" fontId="31" fillId="4" borderId="0" xfId="0" applyFont="1" applyFill="1" applyAlignment="1">
      <alignment horizontal="center" vertical="center"/>
    </xf>
    <xf numFmtId="0" fontId="31" fillId="42" borderId="0" xfId="0" applyFont="1" applyFill="1" applyAlignment="1">
      <alignment horizontal="center" vertical="center"/>
    </xf>
    <xf numFmtId="0" fontId="31" fillId="43" borderId="0" xfId="0" applyFont="1" applyFill="1" applyAlignment="1">
      <alignment horizontal="center" vertical="center"/>
    </xf>
    <xf numFmtId="0" fontId="32" fillId="3" borderId="0" xfId="0" applyFont="1" applyFill="1" applyAlignment="1">
      <alignment horizontal="center" vertical="center" wrapText="1"/>
    </xf>
    <xf numFmtId="1" fontId="12" fillId="4" borderId="0" xfId="0" applyNumberFormat="1" applyFont="1" applyFill="1" applyAlignment="1">
      <alignment horizontal="center" vertical="center" wrapText="1"/>
    </xf>
    <xf numFmtId="0" fontId="32" fillId="2" borderId="0" xfId="0" applyFont="1" applyFill="1" applyAlignment="1">
      <alignment horizontal="center" vertical="center"/>
    </xf>
    <xf numFmtId="0" fontId="34" fillId="44" borderId="0" xfId="0" applyFont="1" applyFill="1" applyAlignment="1">
      <alignment horizontal="center" vertical="center"/>
    </xf>
    <xf numFmtId="0" fontId="12" fillId="4" borderId="0" xfId="0" applyFont="1" applyFill="1" applyAlignment="1">
      <alignment horizontal="center" vertical="center"/>
    </xf>
    <xf numFmtId="0" fontId="32" fillId="45" borderId="0" xfId="0" applyFont="1" applyFill="1" applyAlignment="1">
      <alignment horizontal="center" vertical="center"/>
    </xf>
    <xf numFmtId="0" fontId="35" fillId="5" borderId="0" xfId="0" applyFont="1" applyFill="1" applyAlignment="1">
      <alignment horizontal="center" vertical="center"/>
    </xf>
    <xf numFmtId="0" fontId="36" fillId="3" borderId="0" xfId="0" applyFont="1" applyFill="1" applyAlignment="1">
      <alignment horizontal="left" vertical="top" wrapText="1"/>
    </xf>
    <xf numFmtId="0" fontId="37" fillId="45" borderId="0" xfId="0" applyFont="1" applyFill="1" applyAlignment="1">
      <alignment horizontal="left" vertical="top" wrapText="1"/>
    </xf>
    <xf numFmtId="0" fontId="38" fillId="44" borderId="0" xfId="0" applyFont="1" applyFill="1" applyAlignment="1">
      <alignment horizontal="left" vertical="top" wrapText="1"/>
    </xf>
    <xf numFmtId="0" fontId="39" fillId="4" borderId="0" xfId="0" applyFont="1" applyFill="1" applyAlignment="1">
      <alignment horizontal="left" vertical="top" wrapText="1"/>
    </xf>
    <xf numFmtId="0" fontId="40" fillId="9" borderId="0" xfId="0" applyFont="1" applyFill="1" applyAlignment="1">
      <alignment horizontal="left" vertical="top" wrapText="1"/>
    </xf>
    <xf numFmtId="0" fontId="41" fillId="8" borderId="0" xfId="0" applyFont="1" applyFill="1" applyAlignment="1">
      <alignment horizontal="left" vertical="top" wrapText="1"/>
    </xf>
    <xf numFmtId="0" fontId="6" fillId="3" borderId="0" xfId="0" applyFont="1" applyFill="1" applyAlignment="1">
      <alignment horizontal="left" vertical="center" wrapText="1"/>
    </xf>
    <xf numFmtId="0" fontId="1" fillId="3" borderId="0" xfId="0" applyFont="1" applyFill="1" applyAlignment="1">
      <alignment vertical="center" wrapText="1"/>
    </xf>
    <xf numFmtId="0" fontId="10" fillId="11" borderId="0" xfId="0" applyFont="1" applyFill="1" applyAlignment="1">
      <alignment horizontal="left" vertical="center"/>
    </xf>
    <xf numFmtId="9" fontId="18" fillId="3" borderId="0" xfId="0" applyNumberFormat="1" applyFont="1" applyFill="1" applyAlignment="1">
      <alignment horizontal="left" vertical="center"/>
    </xf>
    <xf numFmtId="0" fontId="19" fillId="11" borderId="0" xfId="0" applyFont="1" applyFill="1" applyAlignment="1">
      <alignment horizontal="left" vertical="center"/>
    </xf>
    <xf numFmtId="0" fontId="16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10" fillId="10" borderId="0" xfId="0" applyFont="1" applyFill="1" applyAlignment="1">
      <alignment horizontal="left" vertical="center"/>
    </xf>
    <xf numFmtId="166" fontId="17" fillId="10" borderId="0" xfId="0" applyNumberFormat="1" applyFont="1" applyFill="1" applyAlignment="1">
      <alignment horizontal="left" vertical="center"/>
    </xf>
    <xf numFmtId="0" fontId="10" fillId="10" borderId="0" xfId="0" applyFont="1" applyFill="1" applyAlignment="1">
      <alignment horizontal="right" vertical="center"/>
    </xf>
    <xf numFmtId="166" fontId="18" fillId="3" borderId="0" xfId="0" applyNumberFormat="1" applyFont="1" applyFill="1" applyAlignment="1">
      <alignment horizontal="left" vertical="center"/>
    </xf>
    <xf numFmtId="0" fontId="10" fillId="12" borderId="0" xfId="0" applyFont="1" applyFill="1" applyAlignment="1">
      <alignment horizontal="left" vertical="center"/>
    </xf>
    <xf numFmtId="0" fontId="20" fillId="12" borderId="0" xfId="0" applyFont="1" applyFill="1" applyAlignment="1">
      <alignment horizontal="left" vertical="center"/>
    </xf>
    <xf numFmtId="0" fontId="10" fillId="13" borderId="0" xfId="0" applyFont="1" applyFill="1" applyAlignment="1">
      <alignment horizontal="left" vertical="center"/>
    </xf>
    <xf numFmtId="0" fontId="21" fillId="13" borderId="0" xfId="0" applyFont="1" applyFill="1" applyAlignment="1">
      <alignment horizontal="left" vertical="center"/>
    </xf>
    <xf numFmtId="1" fontId="11" fillId="3" borderId="0" xfId="0" applyNumberFormat="1" applyFont="1" applyFill="1" applyAlignment="1">
      <alignment horizontal="left" vertical="center"/>
    </xf>
    <xf numFmtId="0" fontId="14" fillId="8" borderId="0" xfId="0" applyFont="1" applyFill="1" applyAlignment="1">
      <alignment horizontal="left" vertical="center" wrapText="1"/>
    </xf>
    <xf numFmtId="0" fontId="10" fillId="3" borderId="0" xfId="0" applyFont="1" applyFill="1" applyAlignment="1">
      <alignment horizontal="left" vertical="center"/>
    </xf>
    <xf numFmtId="0" fontId="15" fillId="9" borderId="0" xfId="0" applyFont="1" applyFill="1" applyAlignment="1">
      <alignment horizontal="left" vertical="center" wrapText="1"/>
    </xf>
    <xf numFmtId="167" fontId="11" fillId="3" borderId="0" xfId="0" applyNumberFormat="1" applyFont="1" applyFill="1" applyAlignment="1">
      <alignment horizontal="left" vertical="center"/>
    </xf>
    <xf numFmtId="0" fontId="12" fillId="4" borderId="0" xfId="0" applyFont="1" applyFill="1" applyAlignment="1">
      <alignment horizontal="left" vertical="center" wrapText="1"/>
    </xf>
    <xf numFmtId="0" fontId="13" fillId="7" borderId="0" xfId="0" applyFont="1" applyFill="1" applyAlignment="1">
      <alignment horizontal="left" vertical="center" wrapText="1"/>
    </xf>
    <xf numFmtId="0" fontId="7" fillId="5" borderId="0" xfId="0" applyFont="1" applyFill="1" applyAlignment="1">
      <alignment horizontal="left" vertical="center"/>
    </xf>
    <xf numFmtId="0" fontId="8" fillId="5" borderId="0" xfId="0" applyFont="1" applyFill="1" applyAlignment="1">
      <alignment horizontal="right" vertical="center"/>
    </xf>
    <xf numFmtId="0" fontId="9" fillId="5" borderId="0" xfId="0" applyFont="1" applyFill="1" applyAlignment="1">
      <alignment horizontal="left" vertical="center"/>
    </xf>
    <xf numFmtId="0" fontId="3" fillId="5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29" fillId="2" borderId="0" xfId="0" applyFont="1" applyFill="1" applyAlignment="1">
      <alignment horizontal="left" vertical="center"/>
    </xf>
    <xf numFmtId="0" fontId="33" fillId="14" borderId="0" xfId="0" applyFont="1" applyFill="1" applyAlignment="1">
      <alignment horizontal="left" vertical="center"/>
    </xf>
    <xf numFmtId="167" fontId="42" fillId="3" borderId="0" xfId="0" applyNumberFormat="1" applyFont="1" applyFill="1" applyAlignment="1">
      <alignment horizontal="left" vertical="center"/>
    </xf>
    <xf numFmtId="0" fontId="6" fillId="3" borderId="0" xfId="0" applyFont="1" applyFill="1" applyAlignment="1">
      <alignment horizontal="left" vertical="center" wrapText="1"/>
    </xf>
    <xf numFmtId="0" fontId="43" fillId="3" borderId="0" xfId="0" applyFont="1" applyFill="1" applyAlignment="1">
      <alignment horizontal="left" vertical="center"/>
    </xf>
    <xf numFmtId="9" fontId="44" fillId="3" borderId="0" xfId="0" applyNumberFormat="1" applyFont="1" applyFill="1" applyAlignment="1">
      <alignment horizontal="left" vertical="center"/>
    </xf>
    <xf numFmtId="0" fontId="19" fillId="3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 wrapText="1"/>
    </xf>
    <xf numFmtId="0" fontId="1" fillId="3" borderId="0" xfId="0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/>
          <a:lstStyle/>
          <a:p>
            <a:r>
              <a:rPr lang="en-IN"/>
              <a:t>Subscription Cost Distribution</a:t>
            </a:r>
          </a:p>
        </c:rich>
      </c:tx>
      <c:overlay val="0"/>
    </c:title>
    <c:autoTitleDeleted val="0"/>
    <c:plotArea>
      <c:layout/>
      <c:doughnutChart>
        <c:varyColors val="1"/>
        <c:ser>
          <c:idx val="0"/>
          <c:order val="0"/>
          <c:tx>
            <c:v>Monthly USD</c:v>
          </c:tx>
          <c:cat>
            <c:strRef>
              <c:f>'🗃️ Database'!$B$6:$B$12</c:f>
              <c:strCache>
                <c:ptCount val="7"/>
                <c:pt idx="0">
                  <c:v>Software</c:v>
                </c:pt>
                <c:pt idx="1">
                  <c:v>Entertainment</c:v>
                </c:pt>
                <c:pt idx="2">
                  <c:v>Cloud</c:v>
                </c:pt>
                <c:pt idx="3">
                  <c:v>Productivity</c:v>
                </c:pt>
                <c:pt idx="4">
                  <c:v>Utilities</c:v>
                </c:pt>
                <c:pt idx="5">
                  <c:v>Education</c:v>
                </c:pt>
                <c:pt idx="6">
                  <c:v>Other</c:v>
                </c:pt>
              </c:strCache>
            </c:strRef>
          </c:cat>
          <c:val>
            <c:numRef>
              <c:f>'🗃️ Database'!$C$6:$C$12</c:f>
              <c:numCache>
                <c:formatCode>\$#,##0</c:formatCode>
                <c:ptCount val="7"/>
                <c:pt idx="0">
                  <c:v>89.990000000000009</c:v>
                </c:pt>
                <c:pt idx="1">
                  <c:v>26.48</c:v>
                </c:pt>
                <c:pt idx="2">
                  <c:v>14.979999999999999</c:v>
                </c:pt>
                <c:pt idx="3">
                  <c:v>30</c:v>
                </c:pt>
                <c:pt idx="4">
                  <c:v>5.9899999999999993</c:v>
                </c:pt>
                <c:pt idx="5">
                  <c:v>15.14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47A-4852-9C02-C6EBE8DCDD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0"/>
      </c:doughnutChart>
      <c:spPr>
        <a:solidFill>
          <a:srgbClr val="FFFFFF"/>
        </a:solidFill>
      </c:spPr>
    </c:plotArea>
    <c:legend>
      <c:legendPos val="b"/>
      <c:overlay val="0"/>
      <c:txPr>
        <a:bodyPr anchorCtr="1"/>
        <a:lstStyle/>
        <a:p>
          <a:pPr>
            <a:defRPr sz="675"/>
          </a:pPr>
          <a:endParaRPr lang="en-US"/>
        </a:p>
      </c:txPr>
    </c:legend>
    <c:plotVisOnly val="1"/>
    <c:dispBlanksAs val="zero"/>
    <c:showDLblsOverMax val="1"/>
  </c:chart>
  <c:spPr>
    <a:solidFill>
      <a:srgbClr val="FFFFFF"/>
    </a:solidFill>
    <a:ln w="9525">
      <a:solidFill>
        <a:srgbClr val="D9D9D9"/>
      </a:solidFill>
      <a:prstDash val="solid"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/>
          <a:lstStyle/>
          <a:p>
            <a:r>
              <a:t>Category Spend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Monthly USD</c:v>
          </c:tx>
          <c:invertIfNegative val="1"/>
          <c:cat>
            <c:strRef>
              <c:f>'📈 Analytics'!$B$8:$B$14</c:f>
              <c:strCache>
                <c:ptCount val="7"/>
                <c:pt idx="0">
                  <c:v>Software</c:v>
                </c:pt>
                <c:pt idx="1">
                  <c:v>Entertainment</c:v>
                </c:pt>
                <c:pt idx="2">
                  <c:v>Cloud</c:v>
                </c:pt>
                <c:pt idx="3">
                  <c:v>Productivity</c:v>
                </c:pt>
                <c:pt idx="4">
                  <c:v>Utilities</c:v>
                </c:pt>
                <c:pt idx="5">
                  <c:v>Education</c:v>
                </c:pt>
                <c:pt idx="6">
                  <c:v>Other</c:v>
                </c:pt>
              </c:strCache>
            </c:strRef>
          </c:cat>
          <c:val>
            <c:numRef>
              <c:f>'📈 Analytics'!$C$8:$C$14</c:f>
              <c:numCache>
                <c:formatCode>\$#,##0.00</c:formatCode>
                <c:ptCount val="7"/>
                <c:pt idx="0">
                  <c:v>89.990000000000009</c:v>
                </c:pt>
                <c:pt idx="1">
                  <c:v>26.48</c:v>
                </c:pt>
                <c:pt idx="2">
                  <c:v>14.979999999999999</c:v>
                </c:pt>
                <c:pt idx="3">
                  <c:v>30</c:v>
                </c:pt>
                <c:pt idx="4">
                  <c:v>5.9899999999999993</c:v>
                </c:pt>
                <c:pt idx="5">
                  <c:v>15.14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E4-436C-AE24-B4301CED9B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\$#,##0.00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plotVisOnly val="1"/>
    <c:dispBlanksAs val="zero"/>
    <c:showDLblsOverMax val="1"/>
  </c:chart>
  <c:spPr>
    <a:ln w="9525">
      <a:solidFill>
        <a:srgbClr val="D9D9D9"/>
      </a:solidFill>
      <a:prstDash val="solid"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/>
          <a:lstStyle/>
          <a:p>
            <a:r>
              <a:t>Monthly Spend and Forecast</a:t>
            </a:r>
          </a:p>
        </c:rich>
      </c:tx>
      <c:overlay val="0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v>Spend</c:v>
          </c:tx>
          <c:cat>
            <c:strRef>
              <c:f>'📈 Analytics'!$B$25:$B$36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'📈 Analytics'!$C$25:$C$36</c:f>
              <c:numCache>
                <c:formatCode>\$#,##0</c:formatCode>
                <c:ptCount val="12"/>
                <c:pt idx="0">
                  <c:v>174</c:v>
                </c:pt>
                <c:pt idx="1">
                  <c:v>181</c:v>
                </c:pt>
                <c:pt idx="2">
                  <c:v>185</c:v>
                </c:pt>
                <c:pt idx="3">
                  <c:v>185</c:v>
                </c:pt>
                <c:pt idx="4">
                  <c:v>194.58</c:v>
                </c:pt>
                <c:pt idx="5">
                  <c:v>199</c:v>
                </c:pt>
                <c:pt idx="6">
                  <c:v>202</c:v>
                </c:pt>
                <c:pt idx="7">
                  <c:v>204</c:v>
                </c:pt>
                <c:pt idx="8">
                  <c:v>203</c:v>
                </c:pt>
                <c:pt idx="9">
                  <c:v>211</c:v>
                </c:pt>
                <c:pt idx="10">
                  <c:v>214</c:v>
                </c:pt>
                <c:pt idx="11">
                  <c:v>218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347-4D5B-90D3-E59B479C8BBD}"/>
            </c:ext>
          </c:extLst>
        </c:ser>
        <c:ser>
          <c:idx val="1"/>
          <c:order val="1"/>
          <c:tx>
            <c:v>Forecast</c:v>
          </c:tx>
          <c:cat>
            <c:strRef>
              <c:f>'📈 Analytics'!$B$25:$B$36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'📈 Analytics'!$D$25:$D$36</c:f>
              <c:numCache>
                <c:formatCode>\$#,##0</c:formatCode>
                <c:ptCount val="12"/>
                <c:pt idx="0">
                  <c:v>2088</c:v>
                </c:pt>
                <c:pt idx="1">
                  <c:v>2172</c:v>
                </c:pt>
                <c:pt idx="2">
                  <c:v>2220</c:v>
                </c:pt>
                <c:pt idx="3">
                  <c:v>2220</c:v>
                </c:pt>
                <c:pt idx="4">
                  <c:v>2334.96</c:v>
                </c:pt>
                <c:pt idx="5">
                  <c:v>2388</c:v>
                </c:pt>
                <c:pt idx="6">
                  <c:v>2424</c:v>
                </c:pt>
                <c:pt idx="7">
                  <c:v>2448</c:v>
                </c:pt>
                <c:pt idx="8">
                  <c:v>2436</c:v>
                </c:pt>
                <c:pt idx="9">
                  <c:v>2532</c:v>
                </c:pt>
                <c:pt idx="10">
                  <c:v>2568</c:v>
                </c:pt>
                <c:pt idx="11">
                  <c:v>2616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347-4D5B-90D3-E59B479C8B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\$#,##0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b"/>
      <c:overlay val="0"/>
    </c:legend>
    <c:plotVisOnly val="1"/>
    <c:dispBlanksAs val="zero"/>
    <c:showDLblsOverMax val="1"/>
  </c:chart>
  <c:spPr>
    <a:ln w="9525">
      <a:solidFill>
        <a:srgbClr val="D9D9D9"/>
      </a:solidFill>
      <a:prstDash val="solid"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0</xdr:rowOff>
    </xdr:from>
    <xdr:to>
      <xdr:col>10</xdr:col>
      <xdr:colOff>0</xdr:colOff>
      <xdr:row>30</xdr:row>
      <xdr:rowOff>0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4</xdr:row>
      <xdr:rowOff>0</xdr:rowOff>
    </xdr:from>
    <xdr:to>
      <xdr:col>12</xdr:col>
      <xdr:colOff>0</xdr:colOff>
      <xdr:row>20</xdr:row>
      <xdr:rowOff>0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21</xdr:row>
      <xdr:rowOff>0</xdr:rowOff>
    </xdr:from>
    <xdr:to>
      <xdr:col>17</xdr:col>
      <xdr:colOff>0</xdr:colOff>
      <xdr:row>38</xdr:row>
      <xdr:rowOff>0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SubscriptionsTable" displayName="SubscriptionsTable" ref="B5:O205">
  <autoFilter ref="B5:O205" xr:uid="{00000000-0009-0000-0100-000001000000}"/>
  <tableColumns count="14">
    <tableColumn id="1" xr3:uid="{00000000-0010-0000-0000-000001000000}" name="Service"/>
    <tableColumn id="2" xr3:uid="{00000000-0010-0000-0000-000002000000}" name="Category"/>
    <tableColumn id="3" xr3:uid="{00000000-0010-0000-0000-000003000000}" name="Amount"/>
    <tableColumn id="4" xr3:uid="{00000000-0010-0000-0000-000004000000}" name="Currency"/>
    <tableColumn id="5" xr3:uid="{00000000-0010-0000-0000-000005000000}" name="Frequency"/>
    <tableColumn id="6" xr3:uid="{00000000-0010-0000-0000-000006000000}" name="Monthly USD"/>
    <tableColumn id="7" xr3:uid="{00000000-0010-0000-0000-000007000000}" name="Start"/>
    <tableColumn id="8" xr3:uid="{00000000-0010-0000-0000-000008000000}" name="Renewal"/>
    <tableColumn id="9" xr3:uid="{00000000-0010-0000-0000-000009000000}" name="Status"/>
    <tableColumn id="10" xr3:uid="{00000000-0010-0000-0000-00000A000000}" name="Auto Renew"/>
    <tableColumn id="11" xr3:uid="{00000000-0010-0000-0000-00000B000000}" name="Last Used"/>
    <tableColumn id="12" xr3:uid="{00000000-0010-0000-0000-00000C000000}" name="Utilization"/>
    <tableColumn id="13" xr3:uid="{00000000-0010-0000-0000-00000D000000}" name="Recommendation"/>
    <tableColumn id="14" xr3:uid="{00000000-0010-0000-0000-00000E000000}" name="Notes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0"/>
  <sheetViews>
    <sheetView showGridLines="0" tabSelected="1" topLeftCell="AD44" workbookViewId="0">
      <selection activeCell="G7" sqref="G7:J9"/>
    </sheetView>
  </sheetViews>
  <sheetFormatPr defaultRowHeight="13.9"/>
  <cols>
    <col min="1" max="1" width="2.75" customWidth="1"/>
    <col min="2" max="2" width="13" customWidth="1"/>
    <col min="3" max="5" width="12" customWidth="1"/>
    <col min="6" max="6" width="4.5" customWidth="1"/>
    <col min="7" max="7" width="13" customWidth="1"/>
    <col min="8" max="10" width="12" customWidth="1"/>
    <col min="11" max="11" width="4.5" customWidth="1"/>
    <col min="12" max="12" width="13" customWidth="1"/>
    <col min="13" max="15" width="12" customWidth="1"/>
    <col min="16" max="16" width="4.5" customWidth="1"/>
    <col min="17" max="17" width="13" customWidth="1"/>
    <col min="18" max="20" width="12" customWidth="1"/>
  </cols>
  <sheetData>
    <row r="1" spans="1:20" ht="12" customHeight="1">
      <c r="A1" s="1">
        <v>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1.5" customHeight="1">
      <c r="A2" s="1"/>
      <c r="B2" s="105" t="s">
        <v>0</v>
      </c>
      <c r="C2" s="105" t="s">
        <v>0</v>
      </c>
      <c r="D2" s="105" t="s">
        <v>0</v>
      </c>
      <c r="E2" s="105" t="s">
        <v>0</v>
      </c>
      <c r="F2" s="105" t="s">
        <v>0</v>
      </c>
      <c r="G2" s="105" t="s">
        <v>0</v>
      </c>
      <c r="H2" s="105" t="s">
        <v>0</v>
      </c>
      <c r="I2" s="105" t="s">
        <v>0</v>
      </c>
      <c r="J2" s="105" t="s">
        <v>0</v>
      </c>
      <c r="K2" s="105" t="s">
        <v>0</v>
      </c>
      <c r="L2" s="105" t="s">
        <v>0</v>
      </c>
      <c r="M2" s="105" t="s">
        <v>0</v>
      </c>
      <c r="N2" s="105" t="s">
        <v>0</v>
      </c>
      <c r="O2" s="106" t="str">
        <f>'⚙️ Settings'!$C$6&amp;" • "&amp;TEXT('⚙️ Settings'!$C$7,"mmm d, yyyy")</f>
        <v>USD • May 25, 2026</v>
      </c>
      <c r="P2" s="106"/>
      <c r="Q2" s="106"/>
      <c r="R2" s="106"/>
      <c r="S2" s="106"/>
      <c r="T2" s="106"/>
    </row>
    <row r="3" spans="1:20" ht="18" customHeight="1">
      <c r="A3" s="1"/>
      <c r="B3" s="107" t="s">
        <v>1</v>
      </c>
      <c r="C3" s="107" t="s">
        <v>1</v>
      </c>
      <c r="D3" s="107" t="s">
        <v>1</v>
      </c>
      <c r="E3" s="107" t="s">
        <v>1</v>
      </c>
      <c r="F3" s="107" t="s">
        <v>1</v>
      </c>
      <c r="G3" s="107" t="s">
        <v>1</v>
      </c>
      <c r="H3" s="107" t="s">
        <v>1</v>
      </c>
      <c r="I3" s="107" t="s">
        <v>1</v>
      </c>
      <c r="J3" s="107" t="s">
        <v>1</v>
      </c>
      <c r="K3" s="107" t="s">
        <v>1</v>
      </c>
      <c r="L3" s="107" t="s">
        <v>1</v>
      </c>
      <c r="M3" s="107" t="s">
        <v>1</v>
      </c>
      <c r="N3" s="107" t="s">
        <v>1</v>
      </c>
      <c r="O3" s="108" t="str">
        <f>COUNTIFS('📦 Subscriptions'!$J$6:$J$205,"Active")&amp;" active services • "&amp;COUNTIFS('📦 Subscriptions'!$J$6:$J$205,"Active",'📦 Subscriptions'!$I$6:$I$205,"&gt;="&amp;'⚙️ Settings'!$C$7,'📦 Subscriptions'!$I$6:$I$205,"&lt;="&amp;'⚙️ Settings'!$C$7+'⚙️ Settings'!$C$8)&amp;" renewals in "&amp;'⚙️ Settings'!$C$8&amp;" days"</f>
        <v>11 active services • 9 renewals in 45 days</v>
      </c>
      <c r="P3" s="108"/>
      <c r="Q3" s="108"/>
      <c r="R3" s="108"/>
      <c r="S3" s="108"/>
      <c r="T3" s="108"/>
    </row>
    <row r="4" spans="1:20" ht="7.5" customHeight="1">
      <c r="A4" s="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</row>
    <row r="5" spans="1:20" ht="12" customHeight="1">
      <c r="A5" s="1"/>
      <c r="B5" s="3"/>
      <c r="C5" s="3"/>
      <c r="D5" s="3"/>
      <c r="E5" s="3"/>
      <c r="F5" s="1"/>
      <c r="G5" s="13"/>
      <c r="H5" s="13"/>
      <c r="I5" s="13"/>
      <c r="J5" s="13"/>
      <c r="K5" s="1"/>
      <c r="L5" s="14"/>
      <c r="M5" s="14"/>
      <c r="N5" s="14"/>
      <c r="O5" s="14"/>
      <c r="P5" s="1"/>
      <c r="Q5" s="15"/>
      <c r="R5" s="15"/>
      <c r="S5" s="15"/>
      <c r="T5" s="15"/>
    </row>
    <row r="6" spans="1:20" ht="18" customHeight="1">
      <c r="A6" s="1"/>
      <c r="B6" s="100" t="s">
        <v>2</v>
      </c>
      <c r="C6" s="100" t="s">
        <v>2</v>
      </c>
      <c r="D6" s="100" t="s">
        <v>2</v>
      </c>
      <c r="E6" s="100" t="s">
        <v>2</v>
      </c>
      <c r="F6" s="1"/>
      <c r="G6" s="100" t="s">
        <v>3</v>
      </c>
      <c r="H6" s="100" t="s">
        <v>3</v>
      </c>
      <c r="I6" s="100" t="s">
        <v>3</v>
      </c>
      <c r="J6" s="100" t="s">
        <v>3</v>
      </c>
      <c r="K6" s="1"/>
      <c r="L6" s="100" t="s">
        <v>4</v>
      </c>
      <c r="M6" s="100" t="s">
        <v>4</v>
      </c>
      <c r="N6" s="100" t="s">
        <v>4</v>
      </c>
      <c r="O6" s="100" t="s">
        <v>4</v>
      </c>
      <c r="P6" s="1"/>
      <c r="Q6" s="100" t="s">
        <v>5</v>
      </c>
      <c r="R6" s="100" t="s">
        <v>5</v>
      </c>
      <c r="S6" s="100" t="s">
        <v>5</v>
      </c>
      <c r="T6" s="100" t="s">
        <v>5</v>
      </c>
    </row>
    <row r="7" spans="1:20" ht="33" customHeight="1">
      <c r="A7" s="1"/>
      <c r="B7" s="102">
        <f>ROUNDDOWN(SUMIFS('📦 Subscriptions'!$G$6:$G$205,'📦 Subscriptions'!$J$6:$J$205,"Active"),0)</f>
        <v>182</v>
      </c>
      <c r="C7" s="102"/>
      <c r="D7" s="102"/>
      <c r="E7" s="102"/>
      <c r="F7" s="1"/>
      <c r="G7" s="102">
        <f>ROUND(SUMIFS('📦 Subscriptions'!$G$6:$G$205,'📦 Subscriptions'!$J$6:$J$205,"Active")*12,0)</f>
        <v>2191</v>
      </c>
      <c r="H7" s="102"/>
      <c r="I7" s="102"/>
      <c r="J7" s="102"/>
      <c r="K7" s="1"/>
      <c r="L7" s="98">
        <f>COUNTIFS('📦 Subscriptions'!$J$6:$J$205,"Active")</f>
        <v>11</v>
      </c>
      <c r="M7" s="98"/>
      <c r="N7" s="98"/>
      <c r="O7" s="98"/>
      <c r="P7" s="1"/>
      <c r="Q7" s="98">
        <f>COUNTIFS('📦 Subscriptions'!$J$6:$J$205,"Active",'📦 Subscriptions'!$I$6:$I$205,"&gt;="&amp;'⚙️ Settings'!$C$7,'📦 Subscriptions'!$I$6:$I$205,"&lt;="&amp;'⚙️ Settings'!$C$7+'⚙️ Settings'!$C$8)</f>
        <v>9</v>
      </c>
      <c r="R7" s="98"/>
      <c r="S7" s="98"/>
      <c r="T7" s="98"/>
    </row>
    <row r="8" spans="1:20" ht="18" customHeight="1">
      <c r="A8" s="1"/>
      <c r="B8" s="102"/>
      <c r="C8" s="102"/>
      <c r="D8" s="102"/>
      <c r="E8" s="102"/>
      <c r="F8" s="1"/>
      <c r="G8" s="102"/>
      <c r="H8" s="102"/>
      <c r="I8" s="102"/>
      <c r="J8" s="102"/>
      <c r="K8" s="1"/>
      <c r="L8" s="98"/>
      <c r="M8" s="98"/>
      <c r="N8" s="98"/>
      <c r="O8" s="98"/>
      <c r="P8" s="1"/>
      <c r="Q8" s="98"/>
      <c r="R8" s="98"/>
      <c r="S8" s="98"/>
      <c r="T8" s="98"/>
    </row>
    <row r="9" spans="1:20" ht="16.5" customHeight="1">
      <c r="A9" s="1"/>
      <c r="B9" s="102"/>
      <c r="C9" s="102"/>
      <c r="D9" s="102"/>
      <c r="E9" s="102"/>
      <c r="F9" s="1"/>
      <c r="G9" s="102"/>
      <c r="H9" s="102"/>
      <c r="I9" s="102"/>
      <c r="J9" s="102"/>
      <c r="K9" s="1"/>
      <c r="L9" s="98"/>
      <c r="M9" s="98"/>
      <c r="N9" s="98"/>
      <c r="O9" s="98"/>
      <c r="P9" s="1"/>
      <c r="Q9" s="98"/>
      <c r="R9" s="98"/>
      <c r="S9" s="98"/>
      <c r="T9" s="98"/>
    </row>
    <row r="10" spans="1:20">
      <c r="A10" s="1"/>
      <c r="B10" s="103" t="s">
        <v>6</v>
      </c>
      <c r="C10" s="103" t="s">
        <v>6</v>
      </c>
      <c r="D10" s="103" t="s">
        <v>6</v>
      </c>
      <c r="E10" s="103" t="s">
        <v>6</v>
      </c>
      <c r="F10" s="1"/>
      <c r="G10" s="104" t="s">
        <v>7</v>
      </c>
      <c r="H10" s="104" t="s">
        <v>7</v>
      </c>
      <c r="I10" s="104" t="s">
        <v>7</v>
      </c>
      <c r="J10" s="104" t="s">
        <v>7</v>
      </c>
      <c r="K10" s="1"/>
      <c r="L10" s="99" t="s">
        <v>8</v>
      </c>
      <c r="M10" s="99" t="s">
        <v>8</v>
      </c>
      <c r="N10" s="99" t="s">
        <v>8</v>
      </c>
      <c r="O10" s="99" t="s">
        <v>8</v>
      </c>
      <c r="P10" s="1"/>
      <c r="Q10" s="101" t="s">
        <v>9</v>
      </c>
      <c r="R10" s="101" t="s">
        <v>9</v>
      </c>
      <c r="S10" s="101" t="s">
        <v>9</v>
      </c>
      <c r="T10" s="101" t="s">
        <v>9</v>
      </c>
    </row>
    <row r="11" spans="1:20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22.5" customHeight="1">
      <c r="A12" s="1"/>
      <c r="B12" s="88" t="s">
        <v>10</v>
      </c>
      <c r="C12" s="88" t="s">
        <v>10</v>
      </c>
      <c r="D12" s="88" t="s">
        <v>10</v>
      </c>
      <c r="E12" s="88" t="s">
        <v>10</v>
      </c>
      <c r="F12" s="88" t="s">
        <v>10</v>
      </c>
      <c r="G12" s="88" t="s">
        <v>10</v>
      </c>
      <c r="H12" s="88" t="s">
        <v>10</v>
      </c>
      <c r="I12" s="88" t="s">
        <v>10</v>
      </c>
      <c r="J12" s="88" t="s">
        <v>10</v>
      </c>
      <c r="K12" s="1"/>
      <c r="L12" s="88" t="s">
        <v>11</v>
      </c>
      <c r="M12" s="88" t="s">
        <v>11</v>
      </c>
      <c r="N12" s="88" t="s">
        <v>11</v>
      </c>
      <c r="O12" s="88" t="s">
        <v>11</v>
      </c>
      <c r="P12" s="88" t="s">
        <v>11</v>
      </c>
      <c r="Q12" s="88" t="s">
        <v>11</v>
      </c>
      <c r="R12" s="88" t="s">
        <v>11</v>
      </c>
      <c r="S12" s="88" t="s">
        <v>11</v>
      </c>
      <c r="T12" s="88" t="s">
        <v>11</v>
      </c>
    </row>
    <row r="13" spans="1:20">
      <c r="A13" s="1"/>
      <c r="B13" s="89" t="s">
        <v>12</v>
      </c>
      <c r="C13" s="89" t="s">
        <v>12</v>
      </c>
      <c r="D13" s="89" t="s">
        <v>12</v>
      </c>
      <c r="E13" s="89" t="s">
        <v>12</v>
      </c>
      <c r="F13" s="89" t="s">
        <v>12</v>
      </c>
      <c r="G13" s="89" t="s">
        <v>12</v>
      </c>
      <c r="H13" s="89" t="s">
        <v>12</v>
      </c>
      <c r="I13" s="89" t="s">
        <v>12</v>
      </c>
      <c r="J13" s="89" t="s">
        <v>12</v>
      </c>
      <c r="K13" s="1"/>
      <c r="L13" s="89" t="s">
        <v>13</v>
      </c>
      <c r="M13" s="89" t="s">
        <v>13</v>
      </c>
      <c r="N13" s="89" t="s">
        <v>13</v>
      </c>
      <c r="O13" s="89" t="s">
        <v>13</v>
      </c>
      <c r="P13" s="89" t="s">
        <v>13</v>
      </c>
      <c r="Q13" s="89" t="s">
        <v>13</v>
      </c>
      <c r="R13" s="89" t="s">
        <v>13</v>
      </c>
      <c r="S13" s="89" t="s">
        <v>13</v>
      </c>
      <c r="T13" s="89" t="s">
        <v>13</v>
      </c>
    </row>
    <row r="14" spans="1:20">
      <c r="A14" s="1"/>
      <c r="B14" s="2"/>
      <c r="C14" s="2"/>
      <c r="D14" s="2"/>
      <c r="E14" s="2"/>
      <c r="F14" s="2"/>
      <c r="G14" s="2"/>
      <c r="H14" s="2"/>
      <c r="I14" s="2"/>
      <c r="J14" s="2"/>
      <c r="K14" s="1"/>
      <c r="L14" s="85" t="s">
        <v>14</v>
      </c>
      <c r="M14" s="85" t="s">
        <v>14</v>
      </c>
      <c r="N14" s="85" t="s">
        <v>14</v>
      </c>
      <c r="O14" s="85" t="s">
        <v>14</v>
      </c>
      <c r="P14" s="85" t="s">
        <v>14</v>
      </c>
      <c r="Q14" s="85" t="s">
        <v>14</v>
      </c>
      <c r="R14" s="85" t="s">
        <v>14</v>
      </c>
      <c r="S14" s="85" t="s">
        <v>14</v>
      </c>
      <c r="T14" s="85" t="s">
        <v>14</v>
      </c>
    </row>
    <row r="15" spans="1:20" ht="24">
      <c r="A15" s="1"/>
      <c r="B15" s="2"/>
      <c r="C15" s="2"/>
      <c r="D15" s="2"/>
      <c r="E15" s="2"/>
      <c r="F15" s="2"/>
      <c r="G15" s="2"/>
      <c r="H15" s="2"/>
      <c r="I15" s="2"/>
      <c r="J15" s="2"/>
      <c r="K15" s="1"/>
      <c r="L15" s="93">
        <f>AVERAGEIF('📦 Subscriptions'!$J$6:$J$205,"Active",'📦 Subscriptions'!$G$6:$G$205)</f>
        <v>16.598181818181821</v>
      </c>
      <c r="M15" s="93"/>
      <c r="N15" s="93"/>
      <c r="O15" s="93"/>
      <c r="P15" s="93"/>
      <c r="Q15" s="93"/>
      <c r="R15" s="93"/>
      <c r="S15" s="93"/>
      <c r="T15" s="93"/>
    </row>
    <row r="16" spans="1:20">
      <c r="A16" s="1"/>
      <c r="B16" s="2"/>
      <c r="C16" s="2"/>
      <c r="D16" s="2"/>
      <c r="E16" s="2"/>
      <c r="F16" s="2"/>
      <c r="G16" s="2"/>
      <c r="H16" s="2"/>
      <c r="I16" s="2"/>
      <c r="J16" s="2"/>
      <c r="K16" s="1"/>
      <c r="L16" s="87" t="s">
        <v>15</v>
      </c>
      <c r="M16" s="87" t="s">
        <v>15</v>
      </c>
      <c r="N16" s="87" t="s">
        <v>15</v>
      </c>
      <c r="O16" s="87" t="s">
        <v>15</v>
      </c>
      <c r="P16" s="87" t="s">
        <v>15</v>
      </c>
      <c r="Q16" s="87" t="s">
        <v>15</v>
      </c>
      <c r="R16" s="87" t="s">
        <v>15</v>
      </c>
      <c r="S16" s="87" t="s">
        <v>15</v>
      </c>
      <c r="T16" s="87" t="s">
        <v>15</v>
      </c>
    </row>
    <row r="17" spans="1:20">
      <c r="A17" s="1"/>
      <c r="B17" s="2"/>
      <c r="C17" s="2"/>
      <c r="D17" s="2"/>
      <c r="E17" s="2"/>
      <c r="F17" s="2"/>
      <c r="G17" s="2"/>
      <c r="H17" s="2"/>
      <c r="I17" s="2"/>
      <c r="J17" s="2"/>
      <c r="K17" s="1"/>
      <c r="L17" s="2"/>
      <c r="M17" s="2"/>
      <c r="N17" s="2"/>
      <c r="O17" s="2"/>
      <c r="P17" s="2"/>
      <c r="Q17" s="2"/>
      <c r="R17" s="2"/>
      <c r="S17" s="2"/>
      <c r="T17" s="2"/>
    </row>
    <row r="18" spans="1:20">
      <c r="A18" s="1"/>
      <c r="B18" s="2"/>
      <c r="C18" s="2"/>
      <c r="D18" s="2"/>
      <c r="E18" s="2"/>
      <c r="F18" s="2"/>
      <c r="G18" s="2"/>
      <c r="H18" s="2"/>
      <c r="I18" s="2"/>
      <c r="J18" s="2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>
      <c r="A19" s="1"/>
      <c r="B19" s="2"/>
      <c r="C19" s="2"/>
      <c r="D19" s="2"/>
      <c r="E19" s="2"/>
      <c r="F19" s="2"/>
      <c r="G19" s="2"/>
      <c r="H19" s="2"/>
      <c r="I19" s="2"/>
      <c r="J19" s="2"/>
      <c r="K19" s="1"/>
      <c r="L19" s="94" t="s">
        <v>16</v>
      </c>
      <c r="M19" s="94" t="s">
        <v>16</v>
      </c>
      <c r="N19" s="94" t="s">
        <v>16</v>
      </c>
      <c r="O19" s="94" t="s">
        <v>16</v>
      </c>
      <c r="P19" s="94" t="s">
        <v>16</v>
      </c>
      <c r="Q19" s="94" t="s">
        <v>16</v>
      </c>
      <c r="R19" s="94" t="s">
        <v>16</v>
      </c>
      <c r="S19" s="94" t="s">
        <v>16</v>
      </c>
      <c r="T19" s="94" t="s">
        <v>16</v>
      </c>
    </row>
    <row r="20" spans="1:20" ht="24">
      <c r="A20" s="1"/>
      <c r="B20" s="2"/>
      <c r="C20" s="2"/>
      <c r="D20" s="2"/>
      <c r="E20" s="2"/>
      <c r="F20" s="2"/>
      <c r="G20" s="2"/>
      <c r="H20" s="2"/>
      <c r="I20" s="2"/>
      <c r="J20" s="2"/>
      <c r="K20" s="1"/>
      <c r="L20" s="86">
        <f>'🏠 Dashboard'!Q7/COUNTIFS('📦 Subscriptions'!$J$6:$J$205,"Active")</f>
        <v>0.81818181818181823</v>
      </c>
      <c r="M20" s="86"/>
      <c r="N20" s="86"/>
      <c r="O20" s="86"/>
      <c r="P20" s="86"/>
      <c r="Q20" s="86"/>
      <c r="R20" s="86"/>
      <c r="S20" s="86"/>
      <c r="T20" s="86"/>
    </row>
    <row r="21" spans="1:20">
      <c r="A21" s="1"/>
      <c r="B21" s="2"/>
      <c r="C21" s="2"/>
      <c r="D21" s="2"/>
      <c r="E21" s="2"/>
      <c r="F21" s="2"/>
      <c r="G21" s="2"/>
      <c r="H21" s="2"/>
      <c r="I21" s="2"/>
      <c r="J21" s="2"/>
      <c r="K21" s="1"/>
      <c r="L21" s="95" t="s">
        <v>17</v>
      </c>
      <c r="M21" s="95" t="s">
        <v>17</v>
      </c>
      <c r="N21" s="95" t="s">
        <v>17</v>
      </c>
      <c r="O21" s="95" t="s">
        <v>17</v>
      </c>
      <c r="P21" s="95" t="s">
        <v>17</v>
      </c>
      <c r="Q21" s="95" t="s">
        <v>17</v>
      </c>
      <c r="R21" s="95" t="s">
        <v>17</v>
      </c>
      <c r="S21" s="95" t="s">
        <v>17</v>
      </c>
      <c r="T21" s="95" t="s">
        <v>17</v>
      </c>
    </row>
    <row r="22" spans="1:20">
      <c r="A22" s="1"/>
      <c r="B22" s="2"/>
      <c r="C22" s="2"/>
      <c r="D22" s="2"/>
      <c r="E22" s="2"/>
      <c r="F22" s="2"/>
      <c r="G22" s="2"/>
      <c r="H22" s="2"/>
      <c r="I22" s="2"/>
      <c r="J22" s="2"/>
      <c r="K22" s="1"/>
      <c r="L22" s="2"/>
      <c r="M22" s="2"/>
      <c r="N22" s="2"/>
      <c r="O22" s="2"/>
      <c r="P22" s="2"/>
      <c r="Q22" s="2"/>
      <c r="R22" s="2"/>
      <c r="S22" s="2"/>
      <c r="T22" s="2"/>
    </row>
    <row r="23" spans="1:20">
      <c r="A23" s="1"/>
      <c r="B23" s="2"/>
      <c r="C23" s="2"/>
      <c r="D23" s="2"/>
      <c r="E23" s="2"/>
      <c r="F23" s="2"/>
      <c r="G23" s="2"/>
      <c r="H23" s="2"/>
      <c r="I23" s="2"/>
      <c r="J23" s="2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>
      <c r="A24" s="1"/>
      <c r="B24" s="2"/>
      <c r="C24" s="2"/>
      <c r="D24" s="2"/>
      <c r="E24" s="2"/>
      <c r="F24" s="2"/>
      <c r="G24" s="2"/>
      <c r="H24" s="2"/>
      <c r="I24" s="2"/>
      <c r="J24" s="2"/>
      <c r="K24" s="1"/>
      <c r="L24" s="96" t="s">
        <v>18</v>
      </c>
      <c r="M24" s="96" t="s">
        <v>18</v>
      </c>
      <c r="N24" s="96" t="s">
        <v>18</v>
      </c>
      <c r="O24" s="96" t="s">
        <v>18</v>
      </c>
      <c r="P24" s="96" t="s">
        <v>18</v>
      </c>
      <c r="Q24" s="96" t="s">
        <v>18</v>
      </c>
      <c r="R24" s="96" t="s">
        <v>18</v>
      </c>
      <c r="S24" s="96" t="s">
        <v>18</v>
      </c>
      <c r="T24" s="96" t="s">
        <v>18</v>
      </c>
    </row>
    <row r="25" spans="1:20" ht="24">
      <c r="A25" s="1"/>
      <c r="B25" s="2"/>
      <c r="C25" s="2"/>
      <c r="D25" s="2"/>
      <c r="E25" s="2"/>
      <c r="F25" s="2"/>
      <c r="G25" s="2"/>
      <c r="H25" s="2"/>
      <c r="I25" s="2"/>
      <c r="J25" s="2"/>
      <c r="K25" s="1"/>
      <c r="L25" s="86">
        <f>82/100</f>
        <v>0.82</v>
      </c>
      <c r="M25" s="86"/>
      <c r="N25" s="86"/>
      <c r="O25" s="86"/>
      <c r="P25" s="86"/>
      <c r="Q25" s="86"/>
      <c r="R25" s="86"/>
      <c r="S25" s="86"/>
      <c r="T25" s="86"/>
    </row>
    <row r="26" spans="1:20">
      <c r="A26" s="1"/>
      <c r="B26" s="2"/>
      <c r="C26" s="2"/>
      <c r="D26" s="2"/>
      <c r="E26" s="2"/>
      <c r="F26" s="2"/>
      <c r="G26" s="2"/>
      <c r="H26" s="2"/>
      <c r="I26" s="2"/>
      <c r="J26" s="2"/>
      <c r="K26" s="1"/>
      <c r="L26" s="97" t="s">
        <v>17</v>
      </c>
      <c r="M26" s="97" t="s">
        <v>17</v>
      </c>
      <c r="N26" s="97" t="s">
        <v>17</v>
      </c>
      <c r="O26" s="97" t="s">
        <v>17</v>
      </c>
      <c r="P26" s="97" t="s">
        <v>17</v>
      </c>
      <c r="Q26" s="97" t="s">
        <v>17</v>
      </c>
      <c r="R26" s="97" t="s">
        <v>17</v>
      </c>
      <c r="S26" s="97" t="s">
        <v>17</v>
      </c>
      <c r="T26" s="97" t="s">
        <v>17</v>
      </c>
    </row>
    <row r="27" spans="1:20">
      <c r="A27" s="1"/>
      <c r="B27" s="2"/>
      <c r="C27" s="2"/>
      <c r="D27" s="2"/>
      <c r="E27" s="2"/>
      <c r="F27" s="2"/>
      <c r="G27" s="2"/>
      <c r="H27" s="2"/>
      <c r="I27" s="2"/>
      <c r="J27" s="2"/>
      <c r="K27" s="1"/>
      <c r="L27" s="2"/>
      <c r="M27" s="2"/>
      <c r="N27" s="2"/>
      <c r="O27" s="2"/>
      <c r="P27" s="2"/>
      <c r="Q27" s="2"/>
      <c r="R27" s="2"/>
      <c r="S27" s="2"/>
      <c r="T27" s="2"/>
    </row>
    <row r="28" spans="1:20">
      <c r="A28" s="1"/>
      <c r="B28" s="2"/>
      <c r="C28" s="2"/>
      <c r="D28" s="2"/>
      <c r="E28" s="2"/>
      <c r="F28" s="2"/>
      <c r="G28" s="2"/>
      <c r="H28" s="2"/>
      <c r="I28" s="2"/>
      <c r="J28" s="2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>
      <c r="A29" s="1"/>
      <c r="B29" s="2"/>
      <c r="C29" s="2"/>
      <c r="D29" s="2"/>
      <c r="E29" s="2"/>
      <c r="F29" s="2"/>
      <c r="G29" s="2"/>
      <c r="H29" s="2"/>
      <c r="I29" s="2"/>
      <c r="J29" s="2"/>
      <c r="K29" s="1"/>
      <c r="L29" s="85" t="s">
        <v>19</v>
      </c>
      <c r="M29" s="85" t="s">
        <v>19</v>
      </c>
      <c r="N29" s="85" t="s">
        <v>19</v>
      </c>
      <c r="O29" s="85" t="s">
        <v>19</v>
      </c>
      <c r="P29" s="85" t="s">
        <v>19</v>
      </c>
      <c r="Q29" s="85" t="s">
        <v>19</v>
      </c>
      <c r="R29" s="85" t="s">
        <v>19</v>
      </c>
      <c r="S29" s="85" t="s">
        <v>19</v>
      </c>
      <c r="T29" s="85" t="s">
        <v>19</v>
      </c>
    </row>
    <row r="30" spans="1:20" ht="24">
      <c r="A30" s="1"/>
      <c r="B30" s="2"/>
      <c r="C30" s="2"/>
      <c r="D30" s="2"/>
      <c r="E30" s="2"/>
      <c r="F30" s="2"/>
      <c r="G30" s="2"/>
      <c r="H30" s="2"/>
      <c r="I30" s="2"/>
      <c r="J30" s="2"/>
      <c r="K30" s="1"/>
      <c r="L30" s="86" t="e">
        <f>'💡 Optimization'!$B$6/'🏠 Dashboard'!G7</f>
        <v>#N/A</v>
      </c>
      <c r="M30" s="86"/>
      <c r="N30" s="86"/>
      <c r="O30" s="86"/>
      <c r="P30" s="86"/>
      <c r="Q30" s="86"/>
      <c r="R30" s="86"/>
      <c r="S30" s="86"/>
      <c r="T30" s="86"/>
    </row>
    <row r="31" spans="1:20">
      <c r="A31" s="1"/>
      <c r="B31" s="90" t="s">
        <v>20</v>
      </c>
      <c r="C31" s="90" t="s">
        <v>20</v>
      </c>
      <c r="D31" s="90" t="s">
        <v>20</v>
      </c>
      <c r="E31" s="91">
        <f>SUMIFS('📦 Subscriptions'!$G$6:$G$205,'📦 Subscriptions'!$J$6:$J$205,"Active")</f>
        <v>182.58000000000004</v>
      </c>
      <c r="F31" s="91"/>
      <c r="G31" s="91"/>
      <c r="H31" s="92" t="str">
        <f>COUNTIFS('📦 Subscriptions'!$J$6:$J$205,"Active")&amp;" active services"</f>
        <v>11 active services</v>
      </c>
      <c r="I31" s="92"/>
      <c r="J31" s="92"/>
      <c r="K31" s="1"/>
      <c r="L31" s="87" t="s">
        <v>21</v>
      </c>
      <c r="M31" s="87" t="s">
        <v>21</v>
      </c>
      <c r="N31" s="87" t="s">
        <v>21</v>
      </c>
      <c r="O31" s="87" t="s">
        <v>21</v>
      </c>
      <c r="P31" s="87" t="s">
        <v>21</v>
      </c>
      <c r="Q31" s="87" t="s">
        <v>21</v>
      </c>
      <c r="R31" s="87" t="s">
        <v>21</v>
      </c>
      <c r="S31" s="87" t="s">
        <v>21</v>
      </c>
      <c r="T31" s="87" t="s">
        <v>21</v>
      </c>
    </row>
    <row r="32" spans="1:20">
      <c r="A32" s="1"/>
      <c r="B32" s="90" t="s">
        <v>20</v>
      </c>
      <c r="C32" s="90" t="s">
        <v>20</v>
      </c>
      <c r="D32" s="90" t="s">
        <v>20</v>
      </c>
      <c r="E32" s="91"/>
      <c r="F32" s="91"/>
      <c r="G32" s="91"/>
      <c r="H32" s="92"/>
      <c r="I32" s="92"/>
      <c r="J32" s="92"/>
      <c r="K32" s="1"/>
      <c r="L32" s="2"/>
      <c r="M32" s="2"/>
      <c r="N32" s="2"/>
      <c r="O32" s="2"/>
      <c r="P32" s="2"/>
      <c r="Q32" s="2"/>
      <c r="R32" s="2"/>
      <c r="S32" s="2"/>
      <c r="T32" s="2"/>
    </row>
    <row r="33" spans="1:20">
      <c r="A33" s="1"/>
      <c r="B33" s="90" t="s">
        <v>20</v>
      </c>
      <c r="C33" s="90" t="s">
        <v>20</v>
      </c>
      <c r="D33" s="90" t="s">
        <v>20</v>
      </c>
      <c r="E33" s="91"/>
      <c r="F33" s="91"/>
      <c r="G33" s="91"/>
      <c r="H33" s="92"/>
      <c r="I33" s="92"/>
      <c r="J33" s="92"/>
      <c r="K33" s="1"/>
      <c r="L33" s="2"/>
      <c r="M33" s="2"/>
      <c r="N33" s="2"/>
      <c r="O33" s="2"/>
      <c r="P33" s="2"/>
      <c r="Q33" s="2"/>
      <c r="R33" s="2"/>
      <c r="S33" s="2"/>
      <c r="T33" s="2"/>
    </row>
    <row r="34" spans="1:20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22.5" customHeight="1">
      <c r="A35" s="1"/>
      <c r="B35" s="88" t="s">
        <v>22</v>
      </c>
      <c r="C35" s="88" t="s">
        <v>22</v>
      </c>
      <c r="D35" s="88" t="s">
        <v>22</v>
      </c>
      <c r="E35" s="88" t="s">
        <v>22</v>
      </c>
      <c r="F35" s="88" t="s">
        <v>22</v>
      </c>
      <c r="G35" s="88" t="s">
        <v>22</v>
      </c>
      <c r="H35" s="88" t="s">
        <v>22</v>
      </c>
      <c r="I35" s="88" t="s">
        <v>22</v>
      </c>
      <c r="J35" s="88" t="s">
        <v>22</v>
      </c>
      <c r="K35" s="88" t="s">
        <v>22</v>
      </c>
      <c r="L35" s="88" t="s">
        <v>22</v>
      </c>
      <c r="M35" s="88" t="s">
        <v>22</v>
      </c>
      <c r="N35" s="88" t="s">
        <v>22</v>
      </c>
      <c r="O35" s="88" t="s">
        <v>22</v>
      </c>
      <c r="P35" s="88" t="s">
        <v>22</v>
      </c>
      <c r="Q35" s="88" t="s">
        <v>22</v>
      </c>
      <c r="R35" s="88" t="s">
        <v>22</v>
      </c>
      <c r="S35" s="88" t="s">
        <v>22</v>
      </c>
      <c r="T35" s="88" t="s">
        <v>22</v>
      </c>
    </row>
    <row r="36" spans="1:20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>
      <c r="A37" s="1"/>
      <c r="B37" s="16" t="s">
        <v>23</v>
      </c>
      <c r="C37" s="16" t="s">
        <v>24</v>
      </c>
      <c r="D37" s="16" t="s">
        <v>25</v>
      </c>
      <c r="E37" s="16" t="s">
        <v>26</v>
      </c>
      <c r="F37" s="16" t="s">
        <v>27</v>
      </c>
      <c r="G37" s="16" t="s">
        <v>28</v>
      </c>
      <c r="H37" s="16" t="s">
        <v>29</v>
      </c>
      <c r="I37" s="16" t="s">
        <v>30</v>
      </c>
      <c r="J37" s="16" t="s">
        <v>31</v>
      </c>
      <c r="K37" s="16" t="s">
        <v>32</v>
      </c>
      <c r="L37" s="16" t="s">
        <v>33</v>
      </c>
      <c r="M37" s="16" t="s">
        <v>34</v>
      </c>
      <c r="N37" s="16" t="s">
        <v>35</v>
      </c>
      <c r="O37" s="16" t="s">
        <v>36</v>
      </c>
      <c r="P37" s="1"/>
      <c r="Q37" s="1"/>
      <c r="R37" s="1"/>
      <c r="S37" s="1"/>
      <c r="T37" s="1"/>
    </row>
    <row r="38" spans="1:20" ht="19.5" customHeight="1">
      <c r="A38" s="1"/>
      <c r="B38" s="17" t="s">
        <v>37</v>
      </c>
      <c r="C38" s="18">
        <f>'🗃️ Database'!F6</f>
        <v>174</v>
      </c>
      <c r="D38" s="19">
        <f>'🗃️ Database'!G6</f>
        <v>181</v>
      </c>
      <c r="E38" s="20">
        <f>'🗃️ Database'!H6</f>
        <v>185</v>
      </c>
      <c r="F38" s="20">
        <f>'🗃️ Database'!I6</f>
        <v>185</v>
      </c>
      <c r="G38" s="21">
        <f>'🗃️ Database'!J6</f>
        <v>194.58</v>
      </c>
      <c r="H38" s="22">
        <f>'🗃️ Database'!K6</f>
        <v>199</v>
      </c>
      <c r="I38" s="23">
        <f>'🗃️ Database'!L6</f>
        <v>202</v>
      </c>
      <c r="J38" s="24">
        <f>'🗃️ Database'!M6</f>
        <v>204</v>
      </c>
      <c r="K38" s="25">
        <f>'🗃️ Database'!N6</f>
        <v>203</v>
      </c>
      <c r="L38" s="26">
        <f>'🗃️ Database'!O6</f>
        <v>211</v>
      </c>
      <c r="M38" s="27">
        <f>'🗃️ Database'!P6</f>
        <v>214</v>
      </c>
      <c r="N38" s="28">
        <f>'🗃️ Database'!Q6</f>
        <v>218</v>
      </c>
      <c r="O38" s="61" t="str">
        <f>IFERROR(IF(N38&gt;=C38,CHAR(8599)&amp;" +",CHAR(8600)&amp;" -")&amp;TEXT(ABS(N38/C38-1),"0%"),"")</f>
        <v/>
      </c>
      <c r="P38" s="1"/>
      <c r="Q38" s="1"/>
      <c r="R38" s="1"/>
      <c r="S38" s="1"/>
      <c r="T38" s="1"/>
    </row>
    <row r="39" spans="1:20" ht="22.5" customHeight="1">
      <c r="A39" s="1"/>
      <c r="B39" s="17" t="s">
        <v>38</v>
      </c>
      <c r="C39" s="18">
        <f>'🗃️ Database'!F9</f>
        <v>2088</v>
      </c>
      <c r="D39" s="19">
        <f>'🗃️ Database'!G9</f>
        <v>2172</v>
      </c>
      <c r="E39" s="20">
        <f>'🗃️ Database'!H9</f>
        <v>2220</v>
      </c>
      <c r="F39" s="20">
        <f>'🗃️ Database'!I9</f>
        <v>2220</v>
      </c>
      <c r="G39" s="21">
        <f>'🗃️ Database'!J9</f>
        <v>2334.96</v>
      </c>
      <c r="H39" s="22">
        <f>'🗃️ Database'!K9</f>
        <v>2388</v>
      </c>
      <c r="I39" s="23">
        <f>'🗃️ Database'!L9</f>
        <v>2424</v>
      </c>
      <c r="J39" s="24">
        <f>'🗃️ Database'!M9</f>
        <v>2448</v>
      </c>
      <c r="K39" s="25">
        <f>'🗃️ Database'!N9</f>
        <v>2436</v>
      </c>
      <c r="L39" s="26">
        <f>'🗃️ Database'!O9</f>
        <v>2532</v>
      </c>
      <c r="M39" s="27">
        <f>'🗃️ Database'!P9</f>
        <v>2568</v>
      </c>
      <c r="N39" s="28">
        <f>'🗃️ Database'!Q9</f>
        <v>2616</v>
      </c>
      <c r="O39" s="61" t="str">
        <f>IFERROR(IF(N39-C39&gt;=0,CHAR(8599)&amp;" +",CHAR(8600)&amp;" -")&amp;TEXT(ABS(N39-C39),"$#,##0"),"")</f>
        <v/>
      </c>
      <c r="P39" s="1"/>
      <c r="Q39" s="1"/>
      <c r="R39" s="1"/>
      <c r="S39" s="1"/>
      <c r="T39" s="1"/>
    </row>
    <row r="40" spans="1:20" ht="22.5" customHeight="1">
      <c r="A40" s="1"/>
      <c r="B40" s="17" t="s">
        <v>39</v>
      </c>
      <c r="C40" s="29">
        <f>'🗃️ Database'!F10</f>
        <v>46</v>
      </c>
      <c r="D40" s="30">
        <f>'🗃️ Database'!G10</f>
        <v>52</v>
      </c>
      <c r="E40" s="31">
        <f>'🗃️ Database'!H10</f>
        <v>58</v>
      </c>
      <c r="F40" s="32">
        <f>'🗃️ Database'!I10</f>
        <v>61</v>
      </c>
      <c r="G40" s="33">
        <f>'🗃️ Database'!J10</f>
        <v>64</v>
      </c>
      <c r="H40" s="34">
        <f>'🗃️ Database'!K10</f>
        <v>66</v>
      </c>
      <c r="I40" s="35">
        <f>'🗃️ Database'!L10</f>
        <v>71</v>
      </c>
      <c r="J40" s="36">
        <f>'🗃️ Database'!M10</f>
        <v>74</v>
      </c>
      <c r="K40" s="37">
        <f>'🗃️ Database'!N10</f>
        <v>78</v>
      </c>
      <c r="L40" s="38">
        <f>'🗃️ Database'!O10</f>
        <v>81</v>
      </c>
      <c r="M40" s="39">
        <f>'🗃️ Database'!P10</f>
        <v>85</v>
      </c>
      <c r="N40" s="40">
        <f>'🗃️ Database'!Q10</f>
        <v>88</v>
      </c>
      <c r="O40" s="61" t="str">
        <f>IFERROR(IF(N40-C40&gt;=0,CHAR(8599)&amp;" +",CHAR(8600)&amp;" -")&amp;TEXT(ABS(N40-C40),"$#,##0"),"")</f>
        <v/>
      </c>
      <c r="P40" s="1"/>
      <c r="Q40" s="1"/>
      <c r="R40" s="1"/>
      <c r="S40" s="1"/>
      <c r="T40" s="1"/>
    </row>
    <row r="41" spans="1:20" ht="22.5" customHeight="1">
      <c r="A41" s="1"/>
      <c r="B41" s="17" t="s">
        <v>40</v>
      </c>
      <c r="C41" s="41">
        <f>'🗃️ Database'!F11</f>
        <v>1</v>
      </c>
      <c r="D41" s="41">
        <f>'🗃️ Database'!G11</f>
        <v>0</v>
      </c>
      <c r="E41" s="41">
        <f>'🗃️ Database'!H11</f>
        <v>0</v>
      </c>
      <c r="F41" s="41">
        <f>'🗃️ Database'!I11</f>
        <v>0</v>
      </c>
      <c r="G41" s="41">
        <f>'🗃️ Database'!J11</f>
        <v>0</v>
      </c>
      <c r="H41" s="42">
        <f>'🗃️ Database'!K11</f>
        <v>7</v>
      </c>
      <c r="I41" s="43">
        <f>'🗃️ Database'!L11</f>
        <v>2</v>
      </c>
      <c r="J41" s="41">
        <f>'🗃️ Database'!M11</f>
        <v>1</v>
      </c>
      <c r="K41" s="41">
        <f>'🗃️ Database'!N11</f>
        <v>1</v>
      </c>
      <c r="L41" s="41">
        <f>'🗃️ Database'!O11</f>
        <v>0</v>
      </c>
      <c r="M41" s="41">
        <f>'🗃️ Database'!P11</f>
        <v>0</v>
      </c>
      <c r="N41" s="41">
        <f>'🗃️ Database'!Q11</f>
        <v>0</v>
      </c>
      <c r="O41" s="61" t="str">
        <f>IF(MAX(C41:N41)=0,"No renewals",INDEX($C$37:$N$37,1,MATCH(MAX(C41:N41),C41:N41,0))&amp;" spike")</f>
        <v>Jun spike</v>
      </c>
      <c r="P41" s="1"/>
      <c r="Q41" s="1"/>
      <c r="R41" s="1"/>
      <c r="S41" s="1"/>
      <c r="T41" s="1"/>
    </row>
    <row r="42" spans="1:20" ht="22.5" customHeight="1">
      <c r="A42" s="1"/>
      <c r="B42" s="17" t="s">
        <v>41</v>
      </c>
      <c r="C42" s="44">
        <f>'🗃️ Database'!F12</f>
        <v>72</v>
      </c>
      <c r="D42" s="45">
        <f>'🗃️ Database'!G12</f>
        <v>73</v>
      </c>
      <c r="E42" s="46">
        <f>'🗃️ Database'!H12</f>
        <v>75</v>
      </c>
      <c r="F42" s="47">
        <f>'🗃️ Database'!I12</f>
        <v>78</v>
      </c>
      <c r="G42" s="48">
        <f>'🗃️ Database'!J12</f>
        <v>82</v>
      </c>
      <c r="H42" s="49">
        <f>'🗃️ Database'!K12</f>
        <v>84</v>
      </c>
      <c r="I42" s="50">
        <f>'🗃️ Database'!L12</f>
        <v>85</v>
      </c>
      <c r="J42" s="51">
        <f>'🗃️ Database'!M12</f>
        <v>86</v>
      </c>
      <c r="K42" s="52">
        <f>'🗃️ Database'!N12</f>
        <v>88</v>
      </c>
      <c r="L42" s="53">
        <f>'🗃️ Database'!O12</f>
        <v>89</v>
      </c>
      <c r="M42" s="54">
        <f>'🗃️ Database'!P12</f>
        <v>91</v>
      </c>
      <c r="N42" s="55">
        <f>'🗃️ Database'!Q12</f>
        <v>92</v>
      </c>
      <c r="O42" s="61" t="str">
        <f>IFERROR(IF(N42-C42&gt;=0,CHAR(8599)&amp;" +",CHAR(8600)&amp;" -")&amp;TEXT(ABS(N42-C42),"0")&amp;" pts","")</f>
        <v/>
      </c>
      <c r="P42" s="1"/>
      <c r="Q42" s="1"/>
      <c r="R42" s="1"/>
      <c r="S42" s="1"/>
      <c r="T42" s="1"/>
    </row>
    <row r="43" spans="1:20" ht="22.5" customHeight="1">
      <c r="A43" s="1"/>
      <c r="B43" s="84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84"/>
      <c r="O43" s="84"/>
      <c r="P43" s="1"/>
      <c r="Q43" s="1"/>
      <c r="R43" s="1"/>
      <c r="S43" s="1"/>
      <c r="T43" s="1"/>
    </row>
    <row r="44" spans="1:20" ht="22.5" customHeight="1">
      <c r="A44" s="1"/>
      <c r="B44" s="56" t="s">
        <v>42</v>
      </c>
      <c r="C44" s="57"/>
      <c r="D44" s="83" t="s">
        <v>43</v>
      </c>
      <c r="E44" s="58"/>
      <c r="F44" s="83" t="s">
        <v>44</v>
      </c>
      <c r="G44" s="59"/>
      <c r="H44" s="83" t="s">
        <v>45</v>
      </c>
      <c r="I44" s="60"/>
      <c r="J44" s="83" t="s">
        <v>46</v>
      </c>
      <c r="K44" s="83"/>
      <c r="L44" s="83"/>
      <c r="M44" s="83"/>
      <c r="N44" s="83"/>
      <c r="O44" s="83"/>
      <c r="P44" s="1"/>
      <c r="Q44" s="1"/>
      <c r="R44" s="1"/>
      <c r="S44" s="1"/>
      <c r="T44" s="1"/>
    </row>
    <row r="45" spans="1:20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</sheetData>
  <mergeCells count="36">
    <mergeCell ref="B2:N2"/>
    <mergeCell ref="O2:T2"/>
    <mergeCell ref="B3:N3"/>
    <mergeCell ref="O3:T3"/>
    <mergeCell ref="B6:E6"/>
    <mergeCell ref="L6:O6"/>
    <mergeCell ref="Q6:T6"/>
    <mergeCell ref="Q7:T9"/>
    <mergeCell ref="Q10:T10"/>
    <mergeCell ref="B7:E9"/>
    <mergeCell ref="B10:E10"/>
    <mergeCell ref="G6:J6"/>
    <mergeCell ref="G7:J9"/>
    <mergeCell ref="G10:J10"/>
    <mergeCell ref="L21:T21"/>
    <mergeCell ref="L24:T24"/>
    <mergeCell ref="L25:T25"/>
    <mergeCell ref="L26:T26"/>
    <mergeCell ref="L7:O9"/>
    <mergeCell ref="L10:O10"/>
    <mergeCell ref="L29:T29"/>
    <mergeCell ref="L30:T30"/>
    <mergeCell ref="L31:T31"/>
    <mergeCell ref="B35:T35"/>
    <mergeCell ref="B12:J12"/>
    <mergeCell ref="L12:T12"/>
    <mergeCell ref="B13:J13"/>
    <mergeCell ref="L13:T13"/>
    <mergeCell ref="B31:D33"/>
    <mergeCell ref="E31:G33"/>
    <mergeCell ref="H31:J33"/>
    <mergeCell ref="L14:T14"/>
    <mergeCell ref="L15:T15"/>
    <mergeCell ref="L16:T16"/>
    <mergeCell ref="L19:T19"/>
    <mergeCell ref="L20:T2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K205"/>
  <sheetViews>
    <sheetView showGridLines="0" workbookViewId="0">
      <selection activeCell="A17" sqref="A17:XFD17"/>
    </sheetView>
  </sheetViews>
  <sheetFormatPr defaultRowHeight="13.9"/>
  <cols>
    <col min="1" max="1" width="3.25" customWidth="1"/>
    <col min="2" max="2" width="27.5" customWidth="1"/>
    <col min="3" max="3" width="16.5" customWidth="1"/>
    <col min="4" max="4" width="11.5" customWidth="1"/>
    <col min="5" max="5" width="10.5" customWidth="1"/>
    <col min="6" max="6" width="13.75" customWidth="1"/>
    <col min="7" max="7" width="15" customWidth="1"/>
    <col min="8" max="9" width="13.75" customWidth="1"/>
    <col min="10" max="10" width="11.875" customWidth="1"/>
    <col min="11" max="11" width="11.5" customWidth="1"/>
    <col min="12" max="12" width="13.75" customWidth="1"/>
    <col min="13" max="13" width="12.75" customWidth="1"/>
    <col min="14" max="14" width="17.75" customWidth="1"/>
    <col min="15" max="15" width="40" customWidth="1"/>
  </cols>
  <sheetData>
    <row r="1" spans="1:37" ht="13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</row>
    <row r="2" spans="1:37" ht="25.5" customHeight="1">
      <c r="A2" s="1"/>
      <c r="B2" s="109" t="s">
        <v>47</v>
      </c>
      <c r="C2" s="109" t="s">
        <v>47</v>
      </c>
      <c r="D2" s="109" t="s">
        <v>47</v>
      </c>
      <c r="E2" s="109" t="s">
        <v>47</v>
      </c>
      <c r="F2" s="109" t="s">
        <v>47</v>
      </c>
      <c r="G2" s="109" t="s">
        <v>47</v>
      </c>
      <c r="H2" s="109" t="s">
        <v>47</v>
      </c>
      <c r="I2" s="109" t="s">
        <v>47</v>
      </c>
      <c r="J2" s="109" t="s">
        <v>47</v>
      </c>
      <c r="K2" s="109" t="s">
        <v>47</v>
      </c>
      <c r="L2" s="109" t="s">
        <v>47</v>
      </c>
      <c r="M2" s="109" t="s">
        <v>47</v>
      </c>
      <c r="N2" s="109" t="s">
        <v>47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</row>
    <row r="3" spans="1:37" ht="18" customHeight="1">
      <c r="A3" s="1"/>
      <c r="B3" s="110" t="s">
        <v>48</v>
      </c>
      <c r="C3" s="110" t="s">
        <v>48</v>
      </c>
      <c r="D3" s="110" t="s">
        <v>48</v>
      </c>
      <c r="E3" s="110" t="s">
        <v>48</v>
      </c>
      <c r="F3" s="110" t="s">
        <v>48</v>
      </c>
      <c r="G3" s="110" t="s">
        <v>48</v>
      </c>
      <c r="H3" s="110" t="s">
        <v>48</v>
      </c>
      <c r="I3" s="110" t="s">
        <v>48</v>
      </c>
      <c r="J3" s="110" t="s">
        <v>48</v>
      </c>
      <c r="K3" s="110" t="s">
        <v>48</v>
      </c>
      <c r="L3" s="110" t="s">
        <v>48</v>
      </c>
      <c r="M3" s="110" t="s">
        <v>48</v>
      </c>
      <c r="N3" s="110" t="s">
        <v>48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</row>
    <row r="4" spans="1:37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</row>
    <row r="5" spans="1:37" ht="25.5" customHeight="1">
      <c r="A5" s="1"/>
      <c r="B5" s="4" t="s">
        <v>49</v>
      </c>
      <c r="C5" s="4" t="s">
        <v>50</v>
      </c>
      <c r="D5" s="4" t="s">
        <v>51</v>
      </c>
      <c r="E5" s="4" t="s">
        <v>52</v>
      </c>
      <c r="F5" s="4" t="s">
        <v>53</v>
      </c>
      <c r="G5" s="4" t="s">
        <v>54</v>
      </c>
      <c r="H5" s="4" t="s">
        <v>55</v>
      </c>
      <c r="I5" s="4" t="s">
        <v>56</v>
      </c>
      <c r="J5" s="4" t="s">
        <v>57</v>
      </c>
      <c r="K5" s="4" t="s">
        <v>58</v>
      </c>
      <c r="L5" s="4" t="s">
        <v>59</v>
      </c>
      <c r="M5" s="4" t="s">
        <v>60</v>
      </c>
      <c r="N5" s="4" t="s">
        <v>61</v>
      </c>
      <c r="O5" s="4" t="s">
        <v>62</v>
      </c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</row>
    <row r="6" spans="1:37">
      <c r="A6" s="1"/>
      <c r="B6" s="84" t="s">
        <v>63</v>
      </c>
      <c r="C6" s="84" t="s">
        <v>64</v>
      </c>
      <c r="D6" s="8">
        <v>59.99</v>
      </c>
      <c r="E6" s="84" t="s">
        <v>65</v>
      </c>
      <c r="F6" s="84" t="s">
        <v>66</v>
      </c>
      <c r="G6" s="8">
        <f>IF($B6="","",$D6*IFERROR(VLOOKUP($E6,'⚙️ Settings'!$B$15:$C$20,2,FALSE),1)*IF($F6="Monthly",1,IF($F6="Annual",1/12,IF($F6="Quarterly",1/3,IF($F6="Weekly",52/12,0)))))</f>
        <v>59.99</v>
      </c>
      <c r="H6" s="5">
        <v>45662</v>
      </c>
      <c r="I6" s="5">
        <v>46175</v>
      </c>
      <c r="J6" s="84" t="s">
        <v>67</v>
      </c>
      <c r="K6" s="84" t="s">
        <v>68</v>
      </c>
      <c r="L6" s="5">
        <v>46163</v>
      </c>
      <c r="M6" s="6">
        <v>0.84</v>
      </c>
      <c r="N6" s="84" t="s">
        <v>46</v>
      </c>
      <c r="O6" s="84" t="s">
        <v>69</v>
      </c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</row>
    <row r="7" spans="1:37">
      <c r="A7" s="1"/>
      <c r="B7" s="84" t="s">
        <v>70</v>
      </c>
      <c r="C7" s="84" t="s">
        <v>64</v>
      </c>
      <c r="D7" s="8">
        <v>20</v>
      </c>
      <c r="E7" s="84" t="s">
        <v>65</v>
      </c>
      <c r="F7" s="84" t="s">
        <v>66</v>
      </c>
      <c r="G7" s="8">
        <f>IF($B7="","",$D7*IFERROR(VLOOKUP($E7,'⚙️ Settings'!$B$15:$C$20,2,FALSE),1)*IF($F7="Monthly",1,IF($F7="Annual",1/12,IF($F7="Quarterly",1/3,IF($F7="Weekly",52/12,0)))))</f>
        <v>20</v>
      </c>
      <c r="H7" s="5">
        <v>45979</v>
      </c>
      <c r="I7" s="5">
        <v>46182</v>
      </c>
      <c r="J7" s="84" t="s">
        <v>67</v>
      </c>
      <c r="K7" s="84" t="s">
        <v>68</v>
      </c>
      <c r="L7" s="5">
        <v>46166</v>
      </c>
      <c r="M7" s="6">
        <v>0.93</v>
      </c>
      <c r="N7" s="84" t="s">
        <v>71</v>
      </c>
      <c r="O7" s="84" t="s">
        <v>72</v>
      </c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</row>
    <row r="8" spans="1:37">
      <c r="A8" s="1"/>
      <c r="B8" s="84" t="s">
        <v>73</v>
      </c>
      <c r="C8" s="84" t="s">
        <v>74</v>
      </c>
      <c r="D8" s="8">
        <v>20</v>
      </c>
      <c r="E8" s="84" t="s">
        <v>65</v>
      </c>
      <c r="F8" s="84" t="s">
        <v>66</v>
      </c>
      <c r="G8" s="8">
        <f>IF($B8="","",$D8*IFERROR(VLOOKUP($E8,'⚙️ Settings'!$B$15:$C$20,2,FALSE),1)*IF($F8="Monthly",1,IF($F8="Annual",1/12,IF($F8="Quarterly",1/3,IF($F8="Weekly",52/12,0)))))</f>
        <v>20</v>
      </c>
      <c r="H8" s="5">
        <v>45871</v>
      </c>
      <c r="I8" s="5">
        <v>46185</v>
      </c>
      <c r="J8" s="84" t="s">
        <v>67</v>
      </c>
      <c r="K8" s="84" t="s">
        <v>68</v>
      </c>
      <c r="L8" s="5">
        <v>46162</v>
      </c>
      <c r="M8" s="6">
        <v>0.67</v>
      </c>
      <c r="N8" s="84" t="s">
        <v>75</v>
      </c>
      <c r="O8" s="84" t="s">
        <v>76</v>
      </c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>
      <c r="A9" s="1"/>
      <c r="B9" s="84" t="s">
        <v>77</v>
      </c>
      <c r="C9" s="84" t="s">
        <v>74</v>
      </c>
      <c r="D9" s="8">
        <v>10</v>
      </c>
      <c r="E9" s="84" t="s">
        <v>65</v>
      </c>
      <c r="F9" s="84" t="s">
        <v>66</v>
      </c>
      <c r="G9" s="8">
        <f>IF($B9="","",$D9*IFERROR(VLOOKUP($E9,'⚙️ Settings'!$B$15:$C$20,2,FALSE),1)*IF($F9="Monthly",1,IF($F9="Annual",1/12,IF($F9="Quarterly",1/3,IF($F9="Weekly",52/12,0)))))</f>
        <v>10</v>
      </c>
      <c r="H9" s="5">
        <v>45728</v>
      </c>
      <c r="I9" s="5">
        <v>46190</v>
      </c>
      <c r="J9" s="84" t="s">
        <v>67</v>
      </c>
      <c r="K9" s="84" t="s">
        <v>68</v>
      </c>
      <c r="L9" s="5">
        <v>46165</v>
      </c>
      <c r="M9" s="6">
        <v>0.78</v>
      </c>
      <c r="N9" s="84" t="s">
        <v>71</v>
      </c>
      <c r="O9" s="84" t="s">
        <v>78</v>
      </c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>
      <c r="A10" s="1"/>
      <c r="B10" s="84" t="s">
        <v>79</v>
      </c>
      <c r="C10" s="84" t="s">
        <v>80</v>
      </c>
      <c r="D10" s="8">
        <v>143.88</v>
      </c>
      <c r="E10" s="84" t="s">
        <v>65</v>
      </c>
      <c r="F10" s="84" t="s">
        <v>81</v>
      </c>
      <c r="G10" s="8">
        <f>IF($B10="","",$D10*IFERROR(VLOOKUP($E10,'⚙️ Settings'!$B$15:$C$20,2,FALSE),1)*IF($F10="Monthly",1,IF($F10="Annual",1/12,IF($F10="Quarterly",1/3,IF($F10="Weekly",52/12,0)))))</f>
        <v>11.989999999999998</v>
      </c>
      <c r="H10" s="5">
        <v>45647</v>
      </c>
      <c r="I10" s="5">
        <v>46194</v>
      </c>
      <c r="J10" s="84" t="s">
        <v>67</v>
      </c>
      <c r="K10" s="84" t="s">
        <v>68</v>
      </c>
      <c r="L10" s="5">
        <v>46160</v>
      </c>
      <c r="M10" s="6">
        <v>0.52</v>
      </c>
      <c r="N10" s="84" t="s">
        <v>82</v>
      </c>
      <c r="O10" s="84" t="s">
        <v>83</v>
      </c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>
      <c r="A11" s="1"/>
      <c r="B11" s="84" t="s">
        <v>84</v>
      </c>
      <c r="C11" s="84" t="s">
        <v>64</v>
      </c>
      <c r="D11" s="8">
        <v>10</v>
      </c>
      <c r="E11" s="84" t="s">
        <v>65</v>
      </c>
      <c r="F11" s="84" t="s">
        <v>66</v>
      </c>
      <c r="G11" s="8">
        <f>IF($B11="","",$D11*IFERROR(VLOOKUP($E11,'⚙️ Settings'!$B$15:$C$20,2,FALSE),1)*IF($F11="Monthly",1,IF($F11="Annual",1/12,IF($F11="Quarterly",1/3,IF($F11="Weekly",52/12,0)))))</f>
        <v>10</v>
      </c>
      <c r="H11" s="5">
        <v>45811</v>
      </c>
      <c r="I11" s="5">
        <v>46198</v>
      </c>
      <c r="J11" s="84" t="s">
        <v>67</v>
      </c>
      <c r="K11" s="84" t="s">
        <v>68</v>
      </c>
      <c r="L11" s="5">
        <v>46164</v>
      </c>
      <c r="M11" s="6">
        <v>0.88</v>
      </c>
      <c r="N11" s="84" t="s">
        <v>71</v>
      </c>
      <c r="O11" s="84" t="s">
        <v>85</v>
      </c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>
      <c r="A12" s="1"/>
      <c r="B12" s="84" t="s">
        <v>86</v>
      </c>
      <c r="C12" s="84" t="s">
        <v>87</v>
      </c>
      <c r="D12" s="8">
        <v>15.49</v>
      </c>
      <c r="E12" s="84" t="s">
        <v>65</v>
      </c>
      <c r="F12" s="84" t="s">
        <v>66</v>
      </c>
      <c r="G12" s="8">
        <f>IF($B12="","",$D12*IFERROR(VLOOKUP($E12,'⚙️ Settings'!$B$15:$C$20,2,FALSE),1)*IF($F12="Monthly",1,IF($F12="Annual",1/12,IF($F12="Quarterly",1/3,IF($F12="Weekly",52/12,0)))))</f>
        <v>15.49</v>
      </c>
      <c r="H12" s="5">
        <v>45910</v>
      </c>
      <c r="I12" s="5">
        <v>46202</v>
      </c>
      <c r="J12" s="84" t="s">
        <v>67</v>
      </c>
      <c r="K12" s="84" t="s">
        <v>68</v>
      </c>
      <c r="L12" s="5">
        <v>46152</v>
      </c>
      <c r="M12" s="6">
        <v>0.48</v>
      </c>
      <c r="N12" s="84" t="s">
        <v>46</v>
      </c>
      <c r="O12" s="84" t="s">
        <v>88</v>
      </c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>
      <c r="A13" s="1"/>
      <c r="B13" s="84" t="s">
        <v>89</v>
      </c>
      <c r="C13" s="84" t="s">
        <v>87</v>
      </c>
      <c r="D13" s="8">
        <v>10.99</v>
      </c>
      <c r="E13" s="84" t="s">
        <v>65</v>
      </c>
      <c r="F13" s="84" t="s">
        <v>66</v>
      </c>
      <c r="G13" s="8">
        <f>IF($B13="","",$D13*IFERROR(VLOOKUP($E13,'⚙️ Settings'!$B$15:$C$20,2,FALSE),1)*IF($F13="Monthly",1,IF($F13="Annual",1/12,IF($F13="Quarterly",1/3,IF($F13="Weekly",52/12,0)))))</f>
        <v>10.99</v>
      </c>
      <c r="H13" s="5">
        <v>45847</v>
      </c>
      <c r="I13" s="5">
        <v>46205</v>
      </c>
      <c r="J13" s="84" t="s">
        <v>67</v>
      </c>
      <c r="K13" s="84" t="s">
        <v>68</v>
      </c>
      <c r="L13" s="5">
        <v>46165</v>
      </c>
      <c r="M13" s="6">
        <v>0.76</v>
      </c>
      <c r="N13" s="84" t="s">
        <v>71</v>
      </c>
      <c r="O13" s="84" t="s">
        <v>90</v>
      </c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>
      <c r="A14" s="1"/>
      <c r="B14" s="84" t="s">
        <v>91</v>
      </c>
      <c r="C14" s="84" t="s">
        <v>80</v>
      </c>
      <c r="D14" s="8">
        <v>2.99</v>
      </c>
      <c r="E14" s="84" t="s">
        <v>65</v>
      </c>
      <c r="F14" s="84" t="s">
        <v>66</v>
      </c>
      <c r="G14" s="8">
        <f>IF($B14="","",$D14*IFERROR(VLOOKUP($E14,'⚙️ Settings'!$B$15:$C$20,2,FALSE),1)*IF($F14="Monthly",1,IF($F14="Annual",1/12,IF($F14="Quarterly",1/3,IF($F14="Weekly",52/12,0)))))</f>
        <v>2.99</v>
      </c>
      <c r="H14" s="5">
        <v>45748</v>
      </c>
      <c r="I14" s="5">
        <v>46208</v>
      </c>
      <c r="J14" s="84" t="s">
        <v>67</v>
      </c>
      <c r="K14" s="84" t="s">
        <v>68</v>
      </c>
      <c r="L14" s="5">
        <v>46166</v>
      </c>
      <c r="M14" s="6">
        <v>0.96</v>
      </c>
      <c r="N14" s="84" t="s">
        <v>71</v>
      </c>
      <c r="O14" s="84" t="s">
        <v>92</v>
      </c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26.45">
      <c r="A15" s="1"/>
      <c r="B15" s="84" t="s">
        <v>93</v>
      </c>
      <c r="C15" s="84" t="s">
        <v>94</v>
      </c>
      <c r="D15" s="8">
        <v>71.88</v>
      </c>
      <c r="E15" s="84" t="s">
        <v>65</v>
      </c>
      <c r="F15" s="84" t="s">
        <v>81</v>
      </c>
      <c r="G15" s="8">
        <f>IF($B15="","",$D15*IFERROR(VLOOKUP($E15,'⚙️ Settings'!$B$15:$C$20,2,FALSE),1)*IF($F15="Monthly",1,IF($F15="Annual",1/12,IF($F15="Quarterly",1/3,IF($F15="Weekly",52/12,0)))))</f>
        <v>5.9899999999999993</v>
      </c>
      <c r="H15" s="5">
        <v>45518</v>
      </c>
      <c r="I15" s="5">
        <v>46248</v>
      </c>
      <c r="J15" s="84" t="s">
        <v>67</v>
      </c>
      <c r="K15" s="84" t="s">
        <v>68</v>
      </c>
      <c r="L15" s="5">
        <v>46130</v>
      </c>
      <c r="M15" s="6">
        <v>0.31</v>
      </c>
      <c r="N15" s="84" t="s">
        <v>95</v>
      </c>
      <c r="O15" s="84" t="s">
        <v>96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>
      <c r="A16" s="1"/>
      <c r="B16" s="84" t="s">
        <v>97</v>
      </c>
      <c r="C16" s="84" t="s">
        <v>98</v>
      </c>
      <c r="D16" s="8">
        <v>181.68</v>
      </c>
      <c r="E16" s="84" t="s">
        <v>65</v>
      </c>
      <c r="F16" s="84" t="s">
        <v>81</v>
      </c>
      <c r="G16" s="8">
        <f>IF($B16="","",$D16*IFERROR(VLOOKUP($E16,'⚙️ Settings'!$B$15:$C$20,2,FALSE),1)*IF($F16="Monthly",1,IF($F16="Annual",1/12,IF($F16="Quarterly",1/3,IF($F16="Weekly",52/12,0)))))</f>
        <v>15.14</v>
      </c>
      <c r="H16" s="5">
        <v>45901</v>
      </c>
      <c r="I16" s="5">
        <v>46266</v>
      </c>
      <c r="J16" s="84" t="s">
        <v>67</v>
      </c>
      <c r="K16" s="84" t="s">
        <v>99</v>
      </c>
      <c r="L16" s="5">
        <v>46109</v>
      </c>
      <c r="M16" s="6">
        <v>0.18</v>
      </c>
      <c r="N16" s="84" t="s">
        <v>95</v>
      </c>
      <c r="O16" s="84" t="s">
        <v>100</v>
      </c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14.25">
      <c r="A17" s="1"/>
      <c r="B17" s="84"/>
      <c r="C17" s="84"/>
      <c r="D17" s="8"/>
      <c r="E17" s="84"/>
      <c r="F17" s="84"/>
      <c r="G17" s="8"/>
      <c r="H17" s="5"/>
      <c r="I17" s="5"/>
      <c r="J17" s="84"/>
      <c r="K17" s="84"/>
      <c r="L17" s="5"/>
      <c r="M17" s="6"/>
      <c r="N17" s="84"/>
      <c r="O17" s="84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>
      <c r="A18" s="1"/>
      <c r="B18" s="84"/>
      <c r="C18" s="84"/>
      <c r="D18" s="8"/>
      <c r="E18" s="84"/>
      <c r="F18" s="84"/>
      <c r="G18" s="8" t="str">
        <f>IF($B18="","",$D18*IFERROR(VLOOKUP($E18,'⚙️ Settings'!$B$15:$C$20,2,FALSE),1)*IF($F18="Monthly",1,IF($F18="Annual",1/12,IF($F18="Quarterly",1/3,IF($F18="Weekly",52/12,0)))))</f>
        <v/>
      </c>
      <c r="H18" s="5"/>
      <c r="I18" s="5"/>
      <c r="J18" s="84"/>
      <c r="K18" s="84"/>
      <c r="L18" s="5"/>
      <c r="M18" s="6"/>
      <c r="N18" s="84"/>
      <c r="O18" s="84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>
      <c r="A19" s="1"/>
      <c r="B19" s="84"/>
      <c r="C19" s="84"/>
      <c r="D19" s="8"/>
      <c r="E19" s="84"/>
      <c r="F19" s="84"/>
      <c r="G19" s="8" t="str">
        <f>IF($B19="","",$D19*IFERROR(VLOOKUP($E19,'⚙️ Settings'!$B$15:$C$20,2,FALSE),1)*IF($F19="Monthly",1,IF($F19="Annual",1/12,IF($F19="Quarterly",1/3,IF($F19="Weekly",52/12,0)))))</f>
        <v/>
      </c>
      <c r="H19" s="5"/>
      <c r="I19" s="5"/>
      <c r="J19" s="84"/>
      <c r="K19" s="84"/>
      <c r="L19" s="5"/>
      <c r="M19" s="6"/>
      <c r="N19" s="84"/>
      <c r="O19" s="84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>
      <c r="A20" s="1"/>
      <c r="B20" s="84"/>
      <c r="C20" s="84"/>
      <c r="D20" s="8"/>
      <c r="E20" s="84"/>
      <c r="F20" s="84"/>
      <c r="G20" s="8" t="str">
        <f>IF($B20="","",$D20*IFERROR(VLOOKUP($E20,'⚙️ Settings'!$B$15:$C$20,2,FALSE),1)*IF($F20="Monthly",1,IF($F20="Annual",1/12,IF($F20="Quarterly",1/3,IF($F20="Weekly",52/12,0)))))</f>
        <v/>
      </c>
      <c r="H20" s="5"/>
      <c r="I20" s="5"/>
      <c r="J20" s="84"/>
      <c r="K20" s="84"/>
      <c r="L20" s="5"/>
      <c r="M20" s="6"/>
      <c r="N20" s="84"/>
      <c r="O20" s="84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>
      <c r="A21" s="1"/>
      <c r="B21" s="84"/>
      <c r="C21" s="84"/>
      <c r="D21" s="8"/>
      <c r="E21" s="84"/>
      <c r="F21" s="84"/>
      <c r="G21" s="8" t="str">
        <f>IF($B21="","",$D21*IFERROR(VLOOKUP($E21,'⚙️ Settings'!$B$15:$C$20,2,FALSE),1)*IF($F21="Monthly",1,IF($F21="Annual",1/12,IF($F21="Quarterly",1/3,IF($F21="Weekly",52/12,0)))))</f>
        <v/>
      </c>
      <c r="H21" s="5"/>
      <c r="I21" s="5"/>
      <c r="J21" s="84"/>
      <c r="K21" s="84"/>
      <c r="L21" s="5"/>
      <c r="M21" s="6"/>
      <c r="N21" s="84"/>
      <c r="O21" s="84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>
      <c r="A22" s="1"/>
      <c r="B22" s="84"/>
      <c r="C22" s="84"/>
      <c r="D22" s="8"/>
      <c r="E22" s="84"/>
      <c r="F22" s="84"/>
      <c r="G22" s="8" t="str">
        <f>IF($B22="","",$D22*IFERROR(VLOOKUP($E22,'⚙️ Settings'!$B$15:$C$20,2,FALSE),1)*IF($F22="Monthly",1,IF($F22="Annual",1/12,IF($F22="Quarterly",1/3,IF($F22="Weekly",52/12,0)))))</f>
        <v/>
      </c>
      <c r="H22" s="5"/>
      <c r="I22" s="5"/>
      <c r="J22" s="84"/>
      <c r="K22" s="84"/>
      <c r="L22" s="5"/>
      <c r="M22" s="6"/>
      <c r="N22" s="84"/>
      <c r="O22" s="84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>
      <c r="A23" s="1"/>
      <c r="B23" s="84"/>
      <c r="C23" s="84"/>
      <c r="D23" s="8"/>
      <c r="E23" s="84"/>
      <c r="F23" s="84"/>
      <c r="G23" s="8" t="str">
        <f>IF($B23="","",$D23*IFERROR(VLOOKUP($E23,'⚙️ Settings'!$B$15:$C$20,2,FALSE),1)*IF($F23="Monthly",1,IF($F23="Annual",1/12,IF($F23="Quarterly",1/3,IF($F23="Weekly",52/12,0)))))</f>
        <v/>
      </c>
      <c r="H23" s="5"/>
      <c r="I23" s="5"/>
      <c r="J23" s="84"/>
      <c r="K23" s="84"/>
      <c r="L23" s="5"/>
      <c r="M23" s="6"/>
      <c r="N23" s="84"/>
      <c r="O23" s="84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>
      <c r="A24" s="1"/>
      <c r="B24" s="84"/>
      <c r="C24" s="84"/>
      <c r="D24" s="8"/>
      <c r="E24" s="84"/>
      <c r="F24" s="84"/>
      <c r="G24" s="8" t="str">
        <f>IF($B24="","",$D24*IFERROR(VLOOKUP($E24,'⚙️ Settings'!$B$15:$C$20,2,FALSE),1)*IF($F24="Monthly",1,IF($F24="Annual",1/12,IF($F24="Quarterly",1/3,IF($F24="Weekly",52/12,0)))))</f>
        <v/>
      </c>
      <c r="H24" s="5"/>
      <c r="I24" s="5"/>
      <c r="J24" s="84"/>
      <c r="K24" s="84"/>
      <c r="L24" s="5"/>
      <c r="M24" s="6"/>
      <c r="N24" s="84"/>
      <c r="O24" s="84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>
      <c r="A25" s="1"/>
      <c r="B25" s="84"/>
      <c r="C25" s="84"/>
      <c r="D25" s="8"/>
      <c r="E25" s="84"/>
      <c r="F25" s="84"/>
      <c r="G25" s="8" t="str">
        <f>IF($B25="","",$D25*IFERROR(VLOOKUP($E25,'⚙️ Settings'!$B$15:$C$20,2,FALSE),1)*IF($F25="Monthly",1,IF($F25="Annual",1/12,IF($F25="Quarterly",1/3,IF($F25="Weekly",52/12,0)))))</f>
        <v/>
      </c>
      <c r="H25" s="5"/>
      <c r="I25" s="5"/>
      <c r="J25" s="84"/>
      <c r="K25" s="84"/>
      <c r="L25" s="5"/>
      <c r="M25" s="6"/>
      <c r="N25" s="84"/>
      <c r="O25" s="84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>
      <c r="A26" s="1"/>
      <c r="B26" s="84"/>
      <c r="C26" s="84"/>
      <c r="D26" s="8"/>
      <c r="E26" s="84"/>
      <c r="F26" s="84"/>
      <c r="G26" s="8" t="str">
        <f>IF($B26="","",$D26*IFERROR(VLOOKUP($E26,'⚙️ Settings'!$B$15:$C$20,2,FALSE),1)*IF($F26="Monthly",1,IF($F26="Annual",1/12,IF($F26="Quarterly",1/3,IF($F26="Weekly",52/12,0)))))</f>
        <v/>
      </c>
      <c r="H26" s="5"/>
      <c r="I26" s="5"/>
      <c r="J26" s="84"/>
      <c r="K26" s="84"/>
      <c r="L26" s="5"/>
      <c r="M26" s="6"/>
      <c r="N26" s="84"/>
      <c r="O26" s="84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>
      <c r="A27" s="1"/>
      <c r="B27" s="84"/>
      <c r="C27" s="84"/>
      <c r="D27" s="8"/>
      <c r="E27" s="84"/>
      <c r="F27" s="84"/>
      <c r="G27" s="8" t="str">
        <f>IF($B27="","",$D27*IFERROR(VLOOKUP($E27,'⚙️ Settings'!$B$15:$C$20,2,FALSE),1)*IF($F27="Monthly",1,IF($F27="Annual",1/12,IF($F27="Quarterly",1/3,IF($F27="Weekly",52/12,0)))))</f>
        <v/>
      </c>
      <c r="H27" s="5"/>
      <c r="I27" s="5"/>
      <c r="J27" s="84"/>
      <c r="K27" s="84"/>
      <c r="L27" s="5"/>
      <c r="M27" s="6"/>
      <c r="N27" s="84"/>
      <c r="O27" s="84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>
      <c r="A28" s="1"/>
      <c r="B28" s="84"/>
      <c r="C28" s="84"/>
      <c r="D28" s="8"/>
      <c r="E28" s="84"/>
      <c r="F28" s="84"/>
      <c r="G28" s="8" t="str">
        <f>IF($B28="","",$D28*IFERROR(VLOOKUP($E28,'⚙️ Settings'!$B$15:$C$20,2,FALSE),1)*IF($F28="Monthly",1,IF($F28="Annual",1/12,IF($F28="Quarterly",1/3,IF($F28="Weekly",52/12,0)))))</f>
        <v/>
      </c>
      <c r="H28" s="5"/>
      <c r="I28" s="5"/>
      <c r="J28" s="84"/>
      <c r="K28" s="84"/>
      <c r="L28" s="5"/>
      <c r="M28" s="6"/>
      <c r="N28" s="84"/>
      <c r="O28" s="84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>
      <c r="A29" s="1"/>
      <c r="B29" s="84"/>
      <c r="C29" s="84"/>
      <c r="D29" s="8"/>
      <c r="E29" s="84"/>
      <c r="F29" s="84"/>
      <c r="G29" s="8" t="str">
        <f>IF($B29="","",$D29*IFERROR(VLOOKUP($E29,'⚙️ Settings'!$B$15:$C$20,2,FALSE),1)*IF($F29="Monthly",1,IF($F29="Annual",1/12,IF($F29="Quarterly",1/3,IF($F29="Weekly",52/12,0)))))</f>
        <v/>
      </c>
      <c r="H29" s="5"/>
      <c r="I29" s="5"/>
      <c r="J29" s="84"/>
      <c r="K29" s="84"/>
      <c r="L29" s="5"/>
      <c r="M29" s="6"/>
      <c r="N29" s="84"/>
      <c r="O29" s="84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>
      <c r="A30" s="1"/>
      <c r="B30" s="84"/>
      <c r="C30" s="84"/>
      <c r="D30" s="8"/>
      <c r="E30" s="84"/>
      <c r="F30" s="84"/>
      <c r="G30" s="8" t="str">
        <f>IF($B30="","",$D30*IFERROR(VLOOKUP($E30,'⚙️ Settings'!$B$15:$C$20,2,FALSE),1)*IF($F30="Monthly",1,IF($F30="Annual",1/12,IF($F30="Quarterly",1/3,IF($F30="Weekly",52/12,0)))))</f>
        <v/>
      </c>
      <c r="H30" s="5"/>
      <c r="I30" s="5"/>
      <c r="J30" s="84"/>
      <c r="K30" s="84"/>
      <c r="L30" s="5"/>
      <c r="M30" s="6"/>
      <c r="N30" s="84"/>
      <c r="O30" s="84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>
      <c r="A31" s="1"/>
      <c r="B31" s="84"/>
      <c r="C31" s="84"/>
      <c r="D31" s="8"/>
      <c r="E31" s="84"/>
      <c r="F31" s="84"/>
      <c r="G31" s="8" t="str">
        <f>IF($B31="","",$D31*IFERROR(VLOOKUP($E31,'⚙️ Settings'!$B$15:$C$20,2,FALSE),1)*IF($F31="Monthly",1,IF($F31="Annual",1/12,IF($F31="Quarterly",1/3,IF($F31="Weekly",52/12,0)))))</f>
        <v/>
      </c>
      <c r="H31" s="5"/>
      <c r="I31" s="5"/>
      <c r="J31" s="84"/>
      <c r="K31" s="84"/>
      <c r="L31" s="5"/>
      <c r="M31" s="6"/>
      <c r="N31" s="84"/>
      <c r="O31" s="84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>
      <c r="A32" s="1"/>
      <c r="B32" s="84"/>
      <c r="C32" s="84"/>
      <c r="D32" s="8"/>
      <c r="E32" s="84"/>
      <c r="F32" s="84"/>
      <c r="G32" s="8" t="str">
        <f>IF($B32="","",$D32*IFERROR(VLOOKUP($E32,'⚙️ Settings'!$B$15:$C$20,2,FALSE),1)*IF($F32="Monthly",1,IF($F32="Annual",1/12,IF($F32="Quarterly",1/3,IF($F32="Weekly",52/12,0)))))</f>
        <v/>
      </c>
      <c r="H32" s="5"/>
      <c r="I32" s="5"/>
      <c r="J32" s="84"/>
      <c r="K32" s="84"/>
      <c r="L32" s="5"/>
      <c r="M32" s="6"/>
      <c r="N32" s="84"/>
      <c r="O32" s="84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>
      <c r="A33" s="1"/>
      <c r="B33" s="84"/>
      <c r="C33" s="84"/>
      <c r="D33" s="8"/>
      <c r="E33" s="84"/>
      <c r="F33" s="84"/>
      <c r="G33" s="8" t="str">
        <f>IF($B33="","",$D33*IFERROR(VLOOKUP($E33,'⚙️ Settings'!$B$15:$C$20,2,FALSE),1)*IF($F33="Monthly",1,IF($F33="Annual",1/12,IF($F33="Quarterly",1/3,IF($F33="Weekly",52/12,0)))))</f>
        <v/>
      </c>
      <c r="H33" s="5"/>
      <c r="I33" s="5"/>
      <c r="J33" s="84"/>
      <c r="K33" s="84"/>
      <c r="L33" s="5"/>
      <c r="M33" s="6"/>
      <c r="N33" s="84"/>
      <c r="O33" s="84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>
      <c r="A34" s="1"/>
      <c r="B34" s="84"/>
      <c r="C34" s="84"/>
      <c r="D34" s="8"/>
      <c r="E34" s="84"/>
      <c r="F34" s="84"/>
      <c r="G34" s="8" t="str">
        <f>IF($B34="","",$D34*IFERROR(VLOOKUP($E34,'⚙️ Settings'!$B$15:$C$20,2,FALSE),1)*IF($F34="Monthly",1,IF($F34="Annual",1/12,IF($F34="Quarterly",1/3,IF($F34="Weekly",52/12,0)))))</f>
        <v/>
      </c>
      <c r="H34" s="5"/>
      <c r="I34" s="5"/>
      <c r="J34" s="84"/>
      <c r="K34" s="84"/>
      <c r="L34" s="5"/>
      <c r="M34" s="6"/>
      <c r="N34" s="84"/>
      <c r="O34" s="84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>
      <c r="A35" s="1"/>
      <c r="B35" s="84"/>
      <c r="C35" s="84"/>
      <c r="D35" s="8"/>
      <c r="E35" s="84"/>
      <c r="F35" s="84"/>
      <c r="G35" s="8" t="str">
        <f>IF($B35="","",$D35*IFERROR(VLOOKUP($E35,'⚙️ Settings'!$B$15:$C$20,2,FALSE),1)*IF($F35="Monthly",1,IF($F35="Annual",1/12,IF($F35="Quarterly",1/3,IF($F35="Weekly",52/12,0)))))</f>
        <v/>
      </c>
      <c r="H35" s="5"/>
      <c r="I35" s="5"/>
      <c r="J35" s="84"/>
      <c r="K35" s="84"/>
      <c r="L35" s="5"/>
      <c r="M35" s="6"/>
      <c r="N35" s="84"/>
      <c r="O35" s="84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>
      <c r="A36" s="1"/>
      <c r="B36" s="84"/>
      <c r="C36" s="84"/>
      <c r="D36" s="8"/>
      <c r="E36" s="84"/>
      <c r="F36" s="84"/>
      <c r="G36" s="8" t="str">
        <f>IF($B36="","",$D36*IFERROR(VLOOKUP($E36,'⚙️ Settings'!$B$15:$C$20,2,FALSE),1)*IF($F36="Monthly",1,IF($F36="Annual",1/12,IF($F36="Quarterly",1/3,IF($F36="Weekly",52/12,0)))))</f>
        <v/>
      </c>
      <c r="H36" s="5"/>
      <c r="I36" s="5"/>
      <c r="J36" s="84"/>
      <c r="K36" s="84"/>
      <c r="L36" s="5"/>
      <c r="M36" s="6"/>
      <c r="N36" s="84"/>
      <c r="O36" s="84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>
      <c r="A37" s="1"/>
      <c r="B37" s="84"/>
      <c r="C37" s="84"/>
      <c r="D37" s="8"/>
      <c r="E37" s="84"/>
      <c r="F37" s="84"/>
      <c r="G37" s="8" t="str">
        <f>IF($B37="","",$D37*IFERROR(VLOOKUP($E37,'⚙️ Settings'!$B$15:$C$20,2,FALSE),1)*IF($F37="Monthly",1,IF($F37="Annual",1/12,IF($F37="Quarterly",1/3,IF($F37="Weekly",52/12,0)))))</f>
        <v/>
      </c>
      <c r="H37" s="5"/>
      <c r="I37" s="5"/>
      <c r="J37" s="84"/>
      <c r="K37" s="84"/>
      <c r="L37" s="5"/>
      <c r="M37" s="6"/>
      <c r="N37" s="84"/>
      <c r="O37" s="84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>
      <c r="A38" s="1"/>
      <c r="B38" s="84"/>
      <c r="C38" s="84"/>
      <c r="D38" s="8"/>
      <c r="E38" s="84"/>
      <c r="F38" s="84"/>
      <c r="G38" s="8" t="str">
        <f>IF($B38="","",$D38*IFERROR(VLOOKUP($E38,'⚙️ Settings'!$B$15:$C$20,2,FALSE),1)*IF($F38="Monthly",1,IF($F38="Annual",1/12,IF($F38="Quarterly",1/3,IF($F38="Weekly",52/12,0)))))</f>
        <v/>
      </c>
      <c r="H38" s="5"/>
      <c r="I38" s="5"/>
      <c r="J38" s="84"/>
      <c r="K38" s="84"/>
      <c r="L38" s="5"/>
      <c r="M38" s="6"/>
      <c r="N38" s="84"/>
      <c r="O38" s="84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>
      <c r="A39" s="1"/>
      <c r="B39" s="84"/>
      <c r="C39" s="84"/>
      <c r="D39" s="8"/>
      <c r="E39" s="84"/>
      <c r="F39" s="84"/>
      <c r="G39" s="8" t="str">
        <f>IF($B39="","",$D39*IFERROR(VLOOKUP($E39,'⚙️ Settings'!$B$15:$C$20,2,FALSE),1)*IF($F39="Monthly",1,IF($F39="Annual",1/12,IF($F39="Quarterly",1/3,IF($F39="Weekly",52/12,0)))))</f>
        <v/>
      </c>
      <c r="H39" s="5"/>
      <c r="I39" s="5"/>
      <c r="J39" s="84"/>
      <c r="K39" s="84"/>
      <c r="L39" s="5"/>
      <c r="M39" s="6"/>
      <c r="N39" s="84"/>
      <c r="O39" s="84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>
      <c r="A40" s="1"/>
      <c r="B40" s="84"/>
      <c r="C40" s="84"/>
      <c r="D40" s="8"/>
      <c r="E40" s="84"/>
      <c r="F40" s="84"/>
      <c r="G40" s="8" t="str">
        <f>IF($B40="","",$D40*IFERROR(VLOOKUP($E40,'⚙️ Settings'!$B$15:$C$20,2,FALSE),1)*IF($F40="Monthly",1,IF($F40="Annual",1/12,IF($F40="Quarterly",1/3,IF($F40="Weekly",52/12,0)))))</f>
        <v/>
      </c>
      <c r="H40" s="5"/>
      <c r="I40" s="5"/>
      <c r="J40" s="84"/>
      <c r="K40" s="84"/>
      <c r="L40" s="5"/>
      <c r="M40" s="6"/>
      <c r="N40" s="84"/>
      <c r="O40" s="84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>
      <c r="A41" s="1"/>
      <c r="B41" s="84"/>
      <c r="C41" s="84"/>
      <c r="D41" s="8"/>
      <c r="E41" s="84"/>
      <c r="F41" s="84"/>
      <c r="G41" s="8" t="str">
        <f>IF($B41="","",$D41*IFERROR(VLOOKUP($E41,'⚙️ Settings'!$B$15:$C$20,2,FALSE),1)*IF($F41="Monthly",1,IF($F41="Annual",1/12,IF($F41="Quarterly",1/3,IF($F41="Weekly",52/12,0)))))</f>
        <v/>
      </c>
      <c r="H41" s="5"/>
      <c r="I41" s="5"/>
      <c r="J41" s="84"/>
      <c r="K41" s="84"/>
      <c r="L41" s="5"/>
      <c r="M41" s="6"/>
      <c r="N41" s="84"/>
      <c r="O41" s="84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>
      <c r="A42" s="1"/>
      <c r="B42" s="84"/>
      <c r="C42" s="84"/>
      <c r="D42" s="8"/>
      <c r="E42" s="84"/>
      <c r="F42" s="84"/>
      <c r="G42" s="8" t="str">
        <f>IF($B42="","",$D42*IFERROR(VLOOKUP($E42,'⚙️ Settings'!$B$15:$C$20,2,FALSE),1)*IF($F42="Monthly",1,IF($F42="Annual",1/12,IF($F42="Quarterly",1/3,IF($F42="Weekly",52/12,0)))))</f>
        <v/>
      </c>
      <c r="H42" s="5"/>
      <c r="I42" s="5"/>
      <c r="J42" s="84"/>
      <c r="K42" s="84"/>
      <c r="L42" s="5"/>
      <c r="M42" s="6"/>
      <c r="N42" s="84"/>
      <c r="O42" s="84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>
      <c r="A43" s="1"/>
      <c r="B43" s="84"/>
      <c r="C43" s="84"/>
      <c r="D43" s="8"/>
      <c r="E43" s="84"/>
      <c r="F43" s="84"/>
      <c r="G43" s="8" t="str">
        <f>IF($B43="","",$D43*IFERROR(VLOOKUP($E43,'⚙️ Settings'!$B$15:$C$20,2,FALSE),1)*IF($F43="Monthly",1,IF($F43="Annual",1/12,IF($F43="Quarterly",1/3,IF($F43="Weekly",52/12,0)))))</f>
        <v/>
      </c>
      <c r="H43" s="5"/>
      <c r="I43" s="5"/>
      <c r="J43" s="84"/>
      <c r="K43" s="84"/>
      <c r="L43" s="5"/>
      <c r="M43" s="6"/>
      <c r="N43" s="84"/>
      <c r="O43" s="84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>
      <c r="A44" s="1"/>
      <c r="B44" s="84"/>
      <c r="C44" s="84"/>
      <c r="D44" s="8"/>
      <c r="E44" s="84"/>
      <c r="F44" s="84"/>
      <c r="G44" s="8" t="str">
        <f>IF($B44="","",$D44*IFERROR(VLOOKUP($E44,'⚙️ Settings'!$B$15:$C$20,2,FALSE),1)*IF($F44="Monthly",1,IF($F44="Annual",1/12,IF($F44="Quarterly",1/3,IF($F44="Weekly",52/12,0)))))</f>
        <v/>
      </c>
      <c r="H44" s="5"/>
      <c r="I44" s="5"/>
      <c r="J44" s="84"/>
      <c r="K44" s="84"/>
      <c r="L44" s="5"/>
      <c r="M44" s="6"/>
      <c r="N44" s="84"/>
      <c r="O44" s="84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>
      <c r="A45" s="1"/>
      <c r="B45" s="84"/>
      <c r="C45" s="84"/>
      <c r="D45" s="8"/>
      <c r="E45" s="84"/>
      <c r="F45" s="84"/>
      <c r="G45" s="8" t="str">
        <f>IF($B45="","",$D45*IFERROR(VLOOKUP($E45,'⚙️ Settings'!$B$15:$C$20,2,FALSE),1)*IF($F45="Monthly",1,IF($F45="Annual",1/12,IF($F45="Quarterly",1/3,IF($F45="Weekly",52/12,0)))))</f>
        <v/>
      </c>
      <c r="H45" s="5"/>
      <c r="I45" s="5"/>
      <c r="J45" s="84"/>
      <c r="K45" s="84"/>
      <c r="L45" s="5"/>
      <c r="M45" s="6"/>
      <c r="N45" s="84"/>
      <c r="O45" s="84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>
      <c r="A46" s="1"/>
      <c r="B46" s="84"/>
      <c r="C46" s="84"/>
      <c r="D46" s="8"/>
      <c r="E46" s="84"/>
      <c r="F46" s="84"/>
      <c r="G46" s="8" t="str">
        <f>IF($B46="","",$D46*IFERROR(VLOOKUP($E46,'⚙️ Settings'!$B$15:$C$20,2,FALSE),1)*IF($F46="Monthly",1,IF($F46="Annual",1/12,IF($F46="Quarterly",1/3,IF($F46="Weekly",52/12,0)))))</f>
        <v/>
      </c>
      <c r="H46" s="5"/>
      <c r="I46" s="5"/>
      <c r="J46" s="84"/>
      <c r="K46" s="84"/>
      <c r="L46" s="5"/>
      <c r="M46" s="6"/>
      <c r="N46" s="84"/>
      <c r="O46" s="84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>
      <c r="A47" s="1"/>
      <c r="B47" s="84"/>
      <c r="C47" s="84"/>
      <c r="D47" s="8"/>
      <c r="E47" s="84"/>
      <c r="F47" s="84"/>
      <c r="G47" s="8" t="str">
        <f>IF($B47="","",$D47*IFERROR(VLOOKUP($E47,'⚙️ Settings'!$B$15:$C$20,2,FALSE),1)*IF($F47="Monthly",1,IF($F47="Annual",1/12,IF($F47="Quarterly",1/3,IF($F47="Weekly",52/12,0)))))</f>
        <v/>
      </c>
      <c r="H47" s="5"/>
      <c r="I47" s="5"/>
      <c r="J47" s="84"/>
      <c r="K47" s="84"/>
      <c r="L47" s="5"/>
      <c r="M47" s="6"/>
      <c r="N47" s="84"/>
      <c r="O47" s="84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>
      <c r="A48" s="1"/>
      <c r="B48" s="84"/>
      <c r="C48" s="84"/>
      <c r="D48" s="8"/>
      <c r="E48" s="84"/>
      <c r="F48" s="84"/>
      <c r="G48" s="8" t="str">
        <f>IF($B48="","",$D48*IFERROR(VLOOKUP($E48,'⚙️ Settings'!$B$15:$C$20,2,FALSE),1)*IF($F48="Monthly",1,IF($F48="Annual",1/12,IF($F48="Quarterly",1/3,IF($F48="Weekly",52/12,0)))))</f>
        <v/>
      </c>
      <c r="H48" s="5"/>
      <c r="I48" s="5"/>
      <c r="J48" s="84"/>
      <c r="K48" s="84"/>
      <c r="L48" s="5"/>
      <c r="M48" s="6"/>
      <c r="N48" s="84"/>
      <c r="O48" s="84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>
      <c r="A49" s="1"/>
      <c r="B49" s="84"/>
      <c r="C49" s="84"/>
      <c r="D49" s="8"/>
      <c r="E49" s="84"/>
      <c r="F49" s="84"/>
      <c r="G49" s="8" t="str">
        <f>IF($B49="","",$D49*IFERROR(VLOOKUP($E49,'⚙️ Settings'!$B$15:$C$20,2,FALSE),1)*IF($F49="Monthly",1,IF($F49="Annual",1/12,IF($F49="Quarterly",1/3,IF($F49="Weekly",52/12,0)))))</f>
        <v/>
      </c>
      <c r="H49" s="5"/>
      <c r="I49" s="5"/>
      <c r="J49" s="84"/>
      <c r="K49" s="84"/>
      <c r="L49" s="5"/>
      <c r="M49" s="6"/>
      <c r="N49" s="84"/>
      <c r="O49" s="84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>
      <c r="A50" s="1"/>
      <c r="B50" s="84"/>
      <c r="C50" s="84"/>
      <c r="D50" s="8"/>
      <c r="E50" s="84"/>
      <c r="F50" s="84"/>
      <c r="G50" s="8" t="str">
        <f>IF($B50="","",$D50*IFERROR(VLOOKUP($E50,'⚙️ Settings'!$B$15:$C$20,2,FALSE),1)*IF($F50="Monthly",1,IF($F50="Annual",1/12,IF($F50="Quarterly",1/3,IF($F50="Weekly",52/12,0)))))</f>
        <v/>
      </c>
      <c r="H50" s="5"/>
      <c r="I50" s="5"/>
      <c r="J50" s="84"/>
      <c r="K50" s="84"/>
      <c r="L50" s="5"/>
      <c r="M50" s="6"/>
      <c r="N50" s="84"/>
      <c r="O50" s="84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>
      <c r="A51" s="1"/>
      <c r="B51" s="84"/>
      <c r="C51" s="84"/>
      <c r="D51" s="8"/>
      <c r="E51" s="84"/>
      <c r="F51" s="84"/>
      <c r="G51" s="8" t="str">
        <f>IF($B51="","",$D51*IFERROR(VLOOKUP($E51,'⚙️ Settings'!$B$15:$C$20,2,FALSE),1)*IF($F51="Monthly",1,IF($F51="Annual",1/12,IF($F51="Quarterly",1/3,IF($F51="Weekly",52/12,0)))))</f>
        <v/>
      </c>
      <c r="H51" s="5"/>
      <c r="I51" s="5"/>
      <c r="J51" s="84"/>
      <c r="K51" s="84"/>
      <c r="L51" s="5"/>
      <c r="M51" s="6"/>
      <c r="N51" s="84"/>
      <c r="O51" s="84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>
      <c r="A52" s="1"/>
      <c r="B52" s="84"/>
      <c r="C52" s="84"/>
      <c r="D52" s="8"/>
      <c r="E52" s="84"/>
      <c r="F52" s="84"/>
      <c r="G52" s="8" t="str">
        <f>IF($B52="","",$D52*IFERROR(VLOOKUP($E52,'⚙️ Settings'!$B$15:$C$20,2,FALSE),1)*IF($F52="Monthly",1,IF($F52="Annual",1/12,IF($F52="Quarterly",1/3,IF($F52="Weekly",52/12,0)))))</f>
        <v/>
      </c>
      <c r="H52" s="5"/>
      <c r="I52" s="5"/>
      <c r="J52" s="84"/>
      <c r="K52" s="84"/>
      <c r="L52" s="5"/>
      <c r="M52" s="6"/>
      <c r="N52" s="84"/>
      <c r="O52" s="84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1:37">
      <c r="A53" s="1"/>
      <c r="B53" s="84"/>
      <c r="C53" s="84"/>
      <c r="D53" s="8"/>
      <c r="E53" s="84"/>
      <c r="F53" s="84"/>
      <c r="G53" s="8" t="str">
        <f>IF($B53="","",$D53*IFERROR(VLOOKUP($E53,'⚙️ Settings'!$B$15:$C$20,2,FALSE),1)*IF($F53="Monthly",1,IF($F53="Annual",1/12,IF($F53="Quarterly",1/3,IF($F53="Weekly",52/12,0)))))</f>
        <v/>
      </c>
      <c r="H53" s="5"/>
      <c r="I53" s="5"/>
      <c r="J53" s="84"/>
      <c r="K53" s="84"/>
      <c r="L53" s="5"/>
      <c r="M53" s="6"/>
      <c r="N53" s="84"/>
      <c r="O53" s="84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1:37">
      <c r="A54" s="1"/>
      <c r="B54" s="84"/>
      <c r="C54" s="84"/>
      <c r="D54" s="8"/>
      <c r="E54" s="84"/>
      <c r="F54" s="84"/>
      <c r="G54" s="8" t="str">
        <f>IF($B54="","",$D54*IFERROR(VLOOKUP($E54,'⚙️ Settings'!$B$15:$C$20,2,FALSE),1)*IF($F54="Monthly",1,IF($F54="Annual",1/12,IF($F54="Quarterly",1/3,IF($F54="Weekly",52/12,0)))))</f>
        <v/>
      </c>
      <c r="H54" s="5"/>
      <c r="I54" s="5"/>
      <c r="J54" s="84"/>
      <c r="K54" s="84"/>
      <c r="L54" s="5"/>
      <c r="M54" s="6"/>
      <c r="N54" s="84"/>
      <c r="O54" s="84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1:37">
      <c r="A55" s="1"/>
      <c r="B55" s="84"/>
      <c r="C55" s="84"/>
      <c r="D55" s="8"/>
      <c r="E55" s="84"/>
      <c r="F55" s="84"/>
      <c r="G55" s="8" t="str">
        <f>IF($B55="","",$D55*IFERROR(VLOOKUP($E55,'⚙️ Settings'!$B$15:$C$20,2,FALSE),1)*IF($F55="Monthly",1,IF($F55="Annual",1/12,IF($F55="Quarterly",1/3,IF($F55="Weekly",52/12,0)))))</f>
        <v/>
      </c>
      <c r="H55" s="5"/>
      <c r="I55" s="5"/>
      <c r="J55" s="84"/>
      <c r="K55" s="84"/>
      <c r="L55" s="5"/>
      <c r="M55" s="6"/>
      <c r="N55" s="84"/>
      <c r="O55" s="84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1:37">
      <c r="A56" s="1"/>
      <c r="B56" s="84"/>
      <c r="C56" s="84"/>
      <c r="D56" s="8"/>
      <c r="E56" s="84"/>
      <c r="F56" s="84"/>
      <c r="G56" s="8" t="str">
        <f>IF($B56="","",$D56*IFERROR(VLOOKUP($E56,'⚙️ Settings'!$B$15:$C$20,2,FALSE),1)*IF($F56="Monthly",1,IF($F56="Annual",1/12,IF($F56="Quarterly",1/3,IF($F56="Weekly",52/12,0)))))</f>
        <v/>
      </c>
      <c r="H56" s="5"/>
      <c r="I56" s="5"/>
      <c r="J56" s="84"/>
      <c r="K56" s="84"/>
      <c r="L56" s="5"/>
      <c r="M56" s="6"/>
      <c r="N56" s="84"/>
      <c r="O56" s="84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1:37">
      <c r="A57" s="1"/>
      <c r="B57" s="84"/>
      <c r="C57" s="84"/>
      <c r="D57" s="8"/>
      <c r="E57" s="84"/>
      <c r="F57" s="84"/>
      <c r="G57" s="8" t="str">
        <f>IF($B57="","",$D57*IFERROR(VLOOKUP($E57,'⚙️ Settings'!$B$15:$C$20,2,FALSE),1)*IF($F57="Monthly",1,IF($F57="Annual",1/12,IF($F57="Quarterly",1/3,IF($F57="Weekly",52/12,0)))))</f>
        <v/>
      </c>
      <c r="H57" s="5"/>
      <c r="I57" s="5"/>
      <c r="J57" s="84"/>
      <c r="K57" s="84"/>
      <c r="L57" s="5"/>
      <c r="M57" s="6"/>
      <c r="N57" s="84"/>
      <c r="O57" s="84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1:37">
      <c r="A58" s="1"/>
      <c r="B58" s="84"/>
      <c r="C58" s="84"/>
      <c r="D58" s="8"/>
      <c r="E58" s="84"/>
      <c r="F58" s="84"/>
      <c r="G58" s="8" t="str">
        <f>IF($B58="","",$D58*IFERROR(VLOOKUP($E58,'⚙️ Settings'!$B$15:$C$20,2,FALSE),1)*IF($F58="Monthly",1,IF($F58="Annual",1/12,IF($F58="Quarterly",1/3,IF($F58="Weekly",52/12,0)))))</f>
        <v/>
      </c>
      <c r="H58" s="5"/>
      <c r="I58" s="5"/>
      <c r="J58" s="84"/>
      <c r="K58" s="84"/>
      <c r="L58" s="5"/>
      <c r="M58" s="6"/>
      <c r="N58" s="84"/>
      <c r="O58" s="84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spans="1:37">
      <c r="A59" s="1"/>
      <c r="B59" s="84"/>
      <c r="C59" s="84"/>
      <c r="D59" s="8"/>
      <c r="E59" s="84"/>
      <c r="F59" s="84"/>
      <c r="G59" s="8" t="str">
        <f>IF($B59="","",$D59*IFERROR(VLOOKUP($E59,'⚙️ Settings'!$B$15:$C$20,2,FALSE),1)*IF($F59="Monthly",1,IF($F59="Annual",1/12,IF($F59="Quarterly",1/3,IF($F59="Weekly",52/12,0)))))</f>
        <v/>
      </c>
      <c r="H59" s="5"/>
      <c r="I59" s="5"/>
      <c r="J59" s="84"/>
      <c r="K59" s="84"/>
      <c r="L59" s="5"/>
      <c r="M59" s="6"/>
      <c r="N59" s="84"/>
      <c r="O59" s="84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spans="1:37">
      <c r="A60" s="1"/>
      <c r="B60" s="84"/>
      <c r="C60" s="84"/>
      <c r="D60" s="8"/>
      <c r="E60" s="84"/>
      <c r="F60" s="84"/>
      <c r="G60" s="8" t="str">
        <f>IF($B60="","",$D60*IFERROR(VLOOKUP($E60,'⚙️ Settings'!$B$15:$C$20,2,FALSE),1)*IF($F60="Monthly",1,IF($F60="Annual",1/12,IF($F60="Quarterly",1/3,IF($F60="Weekly",52/12,0)))))</f>
        <v/>
      </c>
      <c r="H60" s="5"/>
      <c r="I60" s="5"/>
      <c r="J60" s="84"/>
      <c r="K60" s="84"/>
      <c r="L60" s="5"/>
      <c r="M60" s="6"/>
      <c r="N60" s="84"/>
      <c r="O60" s="84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spans="1:37">
      <c r="A61" s="1"/>
      <c r="B61" s="84"/>
      <c r="C61" s="84"/>
      <c r="D61" s="8"/>
      <c r="E61" s="84"/>
      <c r="F61" s="84"/>
      <c r="G61" s="8" t="str">
        <f>IF($B61="","",$D61*IFERROR(VLOOKUP($E61,'⚙️ Settings'!$B$15:$C$20,2,FALSE),1)*IF($F61="Monthly",1,IF($F61="Annual",1/12,IF($F61="Quarterly",1/3,IF($F61="Weekly",52/12,0)))))</f>
        <v/>
      </c>
      <c r="H61" s="5"/>
      <c r="I61" s="5"/>
      <c r="J61" s="84"/>
      <c r="K61" s="84"/>
      <c r="L61" s="5"/>
      <c r="M61" s="6"/>
      <c r="N61" s="84"/>
      <c r="O61" s="84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spans="1:37">
      <c r="A62" s="1"/>
      <c r="B62" s="84"/>
      <c r="C62" s="84"/>
      <c r="D62" s="8"/>
      <c r="E62" s="84"/>
      <c r="F62" s="84"/>
      <c r="G62" s="8" t="str">
        <f>IF($B62="","",$D62*IFERROR(VLOOKUP($E62,'⚙️ Settings'!$B$15:$C$20,2,FALSE),1)*IF($F62="Monthly",1,IF($F62="Annual",1/12,IF($F62="Quarterly",1/3,IF($F62="Weekly",52/12,0)))))</f>
        <v/>
      </c>
      <c r="H62" s="5"/>
      <c r="I62" s="5"/>
      <c r="J62" s="84"/>
      <c r="K62" s="84"/>
      <c r="L62" s="5"/>
      <c r="M62" s="6"/>
      <c r="N62" s="84"/>
      <c r="O62" s="84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spans="1:37">
      <c r="A63" s="1"/>
      <c r="B63" s="84"/>
      <c r="C63" s="84"/>
      <c r="D63" s="8"/>
      <c r="E63" s="84"/>
      <c r="F63" s="84"/>
      <c r="G63" s="8" t="str">
        <f>IF($B63="","",$D63*IFERROR(VLOOKUP($E63,'⚙️ Settings'!$B$15:$C$20,2,FALSE),1)*IF($F63="Monthly",1,IF($F63="Annual",1/12,IF($F63="Quarterly",1/3,IF($F63="Weekly",52/12,0)))))</f>
        <v/>
      </c>
      <c r="H63" s="5"/>
      <c r="I63" s="5"/>
      <c r="J63" s="84"/>
      <c r="K63" s="84"/>
      <c r="L63" s="5"/>
      <c r="M63" s="6"/>
      <c r="N63" s="84"/>
      <c r="O63" s="84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spans="1:37">
      <c r="A64" s="1"/>
      <c r="B64" s="84"/>
      <c r="C64" s="84"/>
      <c r="D64" s="8"/>
      <c r="E64" s="84"/>
      <c r="F64" s="84"/>
      <c r="G64" s="8" t="str">
        <f>IF($B64="","",$D64*IFERROR(VLOOKUP($E64,'⚙️ Settings'!$B$15:$C$20,2,FALSE),1)*IF($F64="Monthly",1,IF($F64="Annual",1/12,IF($F64="Quarterly",1/3,IF($F64="Weekly",52/12,0)))))</f>
        <v/>
      </c>
      <c r="H64" s="5"/>
      <c r="I64" s="5"/>
      <c r="J64" s="84"/>
      <c r="K64" s="84"/>
      <c r="L64" s="5"/>
      <c r="M64" s="6"/>
      <c r="N64" s="84"/>
      <c r="O64" s="84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spans="1:37">
      <c r="A65" s="1"/>
      <c r="B65" s="84"/>
      <c r="C65" s="84"/>
      <c r="D65" s="8"/>
      <c r="E65" s="84"/>
      <c r="F65" s="84"/>
      <c r="G65" s="8" t="str">
        <f>IF($B65="","",$D65*IFERROR(VLOOKUP($E65,'⚙️ Settings'!$B$15:$C$20,2,FALSE),1)*IF($F65="Monthly",1,IF($F65="Annual",1/12,IF($F65="Quarterly",1/3,IF($F65="Weekly",52/12,0)))))</f>
        <v/>
      </c>
      <c r="H65" s="5"/>
      <c r="I65" s="5"/>
      <c r="J65" s="84"/>
      <c r="K65" s="84"/>
      <c r="L65" s="5"/>
      <c r="M65" s="6"/>
      <c r="N65" s="84"/>
      <c r="O65" s="84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spans="1:37">
      <c r="A66" s="1"/>
      <c r="B66" s="84"/>
      <c r="C66" s="84"/>
      <c r="D66" s="8"/>
      <c r="E66" s="84"/>
      <c r="F66" s="84"/>
      <c r="G66" s="8" t="str">
        <f>IF($B66="","",$D66*IFERROR(VLOOKUP($E66,'⚙️ Settings'!$B$15:$C$20,2,FALSE),1)*IF($F66="Monthly",1,IF($F66="Annual",1/12,IF($F66="Quarterly",1/3,IF($F66="Weekly",52/12,0)))))</f>
        <v/>
      </c>
      <c r="H66" s="5"/>
      <c r="I66" s="5"/>
      <c r="J66" s="84"/>
      <c r="K66" s="84"/>
      <c r="L66" s="5"/>
      <c r="M66" s="6"/>
      <c r="N66" s="84"/>
      <c r="O66" s="84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spans="1:37">
      <c r="A67" s="1"/>
      <c r="B67" s="84"/>
      <c r="C67" s="84"/>
      <c r="D67" s="8"/>
      <c r="E67" s="84"/>
      <c r="F67" s="84"/>
      <c r="G67" s="8" t="str">
        <f>IF($B67="","",$D67*IFERROR(VLOOKUP($E67,'⚙️ Settings'!$B$15:$C$20,2,FALSE),1)*IF($F67="Monthly",1,IF($F67="Annual",1/12,IF($F67="Quarterly",1/3,IF($F67="Weekly",52/12,0)))))</f>
        <v/>
      </c>
      <c r="H67" s="5"/>
      <c r="I67" s="5"/>
      <c r="J67" s="84"/>
      <c r="K67" s="84"/>
      <c r="L67" s="5"/>
      <c r="M67" s="6"/>
      <c r="N67" s="84"/>
      <c r="O67" s="84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spans="1:37">
      <c r="A68" s="1"/>
      <c r="B68" s="84"/>
      <c r="C68" s="84"/>
      <c r="D68" s="8"/>
      <c r="E68" s="84"/>
      <c r="F68" s="84"/>
      <c r="G68" s="8" t="str">
        <f>IF($B68="","",$D68*IFERROR(VLOOKUP($E68,'⚙️ Settings'!$B$15:$C$20,2,FALSE),1)*IF($F68="Monthly",1,IF($F68="Annual",1/12,IF($F68="Quarterly",1/3,IF($F68="Weekly",52/12,0)))))</f>
        <v/>
      </c>
      <c r="H68" s="5"/>
      <c r="I68" s="5"/>
      <c r="J68" s="84"/>
      <c r="K68" s="84"/>
      <c r="L68" s="5"/>
      <c r="M68" s="6"/>
      <c r="N68" s="84"/>
      <c r="O68" s="84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spans="1:37">
      <c r="A69" s="1"/>
      <c r="B69" s="84"/>
      <c r="C69" s="84"/>
      <c r="D69" s="8"/>
      <c r="E69" s="84"/>
      <c r="F69" s="84"/>
      <c r="G69" s="8" t="str">
        <f>IF($B69="","",$D69*IFERROR(VLOOKUP($E69,'⚙️ Settings'!$B$15:$C$20,2,FALSE),1)*IF($F69="Monthly",1,IF($F69="Annual",1/12,IF($F69="Quarterly",1/3,IF($F69="Weekly",52/12,0)))))</f>
        <v/>
      </c>
      <c r="H69" s="5"/>
      <c r="I69" s="5"/>
      <c r="J69" s="84"/>
      <c r="K69" s="84"/>
      <c r="L69" s="5"/>
      <c r="M69" s="6"/>
      <c r="N69" s="84"/>
      <c r="O69" s="84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spans="1:37">
      <c r="A70" s="1"/>
      <c r="B70" s="84"/>
      <c r="C70" s="84"/>
      <c r="D70" s="8"/>
      <c r="E70" s="84"/>
      <c r="F70" s="84"/>
      <c r="G70" s="8" t="str">
        <f>IF($B70="","",$D70*IFERROR(VLOOKUP($E70,'⚙️ Settings'!$B$15:$C$20,2,FALSE),1)*IF($F70="Monthly",1,IF($F70="Annual",1/12,IF($F70="Quarterly",1/3,IF($F70="Weekly",52/12,0)))))</f>
        <v/>
      </c>
      <c r="H70" s="5"/>
      <c r="I70" s="5"/>
      <c r="J70" s="84"/>
      <c r="K70" s="84"/>
      <c r="L70" s="5"/>
      <c r="M70" s="6"/>
      <c r="N70" s="84"/>
      <c r="O70" s="84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spans="1:37">
      <c r="B71" s="84"/>
      <c r="C71" s="84"/>
      <c r="D71" s="8"/>
      <c r="E71" s="84"/>
      <c r="F71" s="84"/>
      <c r="G71" s="8" t="str">
        <f>IF($B71="","",$D71*IFERROR(VLOOKUP($E71,'⚙️ Settings'!$B$15:$C$20,2,FALSE),1)*IF($F71="Monthly",1,IF($F71="Annual",1/12,IF($F71="Quarterly",1/3,IF($F71="Weekly",52/12,0)))))</f>
        <v/>
      </c>
      <c r="H71" s="5"/>
      <c r="I71" s="5"/>
      <c r="J71" s="84"/>
      <c r="K71" s="84"/>
      <c r="L71" s="5"/>
      <c r="M71" s="6"/>
      <c r="N71" s="84"/>
      <c r="O71" s="84"/>
    </row>
    <row r="72" spans="1:37">
      <c r="B72" s="84"/>
      <c r="C72" s="84"/>
      <c r="D72" s="8"/>
      <c r="E72" s="84"/>
      <c r="F72" s="84"/>
      <c r="G72" s="8" t="str">
        <f>IF($B72="","",$D72*IFERROR(VLOOKUP($E72,'⚙️ Settings'!$B$15:$C$20,2,FALSE),1)*IF($F72="Monthly",1,IF($F72="Annual",1/12,IF($F72="Quarterly",1/3,IF($F72="Weekly",52/12,0)))))</f>
        <v/>
      </c>
      <c r="H72" s="5"/>
      <c r="I72" s="5"/>
      <c r="J72" s="84"/>
      <c r="K72" s="84"/>
      <c r="L72" s="5"/>
      <c r="M72" s="6"/>
      <c r="N72" s="84"/>
      <c r="O72" s="84"/>
    </row>
    <row r="73" spans="1:37">
      <c r="B73" s="84"/>
      <c r="C73" s="84"/>
      <c r="D73" s="8"/>
      <c r="E73" s="84"/>
      <c r="F73" s="84"/>
      <c r="G73" s="8" t="str">
        <f>IF($B73="","",$D73*IFERROR(VLOOKUP($E73,'⚙️ Settings'!$B$15:$C$20,2,FALSE),1)*IF($F73="Monthly",1,IF($F73="Annual",1/12,IF($F73="Quarterly",1/3,IF($F73="Weekly",52/12,0)))))</f>
        <v/>
      </c>
      <c r="H73" s="5"/>
      <c r="I73" s="5"/>
      <c r="J73" s="84"/>
      <c r="K73" s="84"/>
      <c r="L73" s="5"/>
      <c r="M73" s="6"/>
      <c r="N73" s="84"/>
      <c r="O73" s="84"/>
    </row>
    <row r="74" spans="1:37">
      <c r="B74" s="84"/>
      <c r="C74" s="84"/>
      <c r="D74" s="8"/>
      <c r="E74" s="84"/>
      <c r="F74" s="84"/>
      <c r="G74" s="8" t="str">
        <f>IF($B74="","",$D74*IFERROR(VLOOKUP($E74,'⚙️ Settings'!$B$15:$C$20,2,FALSE),1)*IF($F74="Monthly",1,IF($F74="Annual",1/12,IF($F74="Quarterly",1/3,IF($F74="Weekly",52/12,0)))))</f>
        <v/>
      </c>
      <c r="H74" s="5"/>
      <c r="I74" s="5"/>
      <c r="J74" s="84"/>
      <c r="K74" s="84"/>
      <c r="L74" s="5"/>
      <c r="M74" s="6"/>
      <c r="N74" s="84"/>
      <c r="O74" s="84"/>
    </row>
    <row r="75" spans="1:37">
      <c r="B75" s="84"/>
      <c r="C75" s="84"/>
      <c r="D75" s="8"/>
      <c r="E75" s="84"/>
      <c r="F75" s="84"/>
      <c r="G75" s="8" t="str">
        <f>IF($B75="","",$D75*IFERROR(VLOOKUP($E75,'⚙️ Settings'!$B$15:$C$20,2,FALSE),1)*IF($F75="Monthly",1,IF($F75="Annual",1/12,IF($F75="Quarterly",1/3,IF($F75="Weekly",52/12,0)))))</f>
        <v/>
      </c>
      <c r="H75" s="5"/>
      <c r="I75" s="5"/>
      <c r="J75" s="84"/>
      <c r="K75" s="84"/>
      <c r="L75" s="5"/>
      <c r="M75" s="6"/>
      <c r="N75" s="84"/>
      <c r="O75" s="84"/>
    </row>
    <row r="76" spans="1:37">
      <c r="B76" s="84"/>
      <c r="C76" s="84"/>
      <c r="D76" s="8"/>
      <c r="E76" s="84"/>
      <c r="F76" s="84"/>
      <c r="G76" s="8" t="str">
        <f>IF($B76="","",$D76*IFERROR(VLOOKUP($E76,'⚙️ Settings'!$B$15:$C$20,2,FALSE),1)*IF($F76="Monthly",1,IF($F76="Annual",1/12,IF($F76="Quarterly",1/3,IF($F76="Weekly",52/12,0)))))</f>
        <v/>
      </c>
      <c r="H76" s="5"/>
      <c r="I76" s="5"/>
      <c r="J76" s="84"/>
      <c r="K76" s="84"/>
      <c r="L76" s="5"/>
      <c r="M76" s="6"/>
      <c r="N76" s="84"/>
      <c r="O76" s="84"/>
    </row>
    <row r="77" spans="1:37">
      <c r="B77" s="84"/>
      <c r="C77" s="84"/>
      <c r="D77" s="8"/>
      <c r="E77" s="84"/>
      <c r="F77" s="84"/>
      <c r="G77" s="8" t="str">
        <f>IF($B77="","",$D77*IFERROR(VLOOKUP($E77,'⚙️ Settings'!$B$15:$C$20,2,FALSE),1)*IF($F77="Monthly",1,IF($F77="Annual",1/12,IF($F77="Quarterly",1/3,IF($F77="Weekly",52/12,0)))))</f>
        <v/>
      </c>
      <c r="H77" s="5"/>
      <c r="I77" s="5"/>
      <c r="J77" s="84"/>
      <c r="K77" s="84"/>
      <c r="L77" s="5"/>
      <c r="M77" s="6"/>
      <c r="N77" s="84"/>
      <c r="O77" s="84"/>
    </row>
    <row r="78" spans="1:37">
      <c r="B78" s="84"/>
      <c r="C78" s="84"/>
      <c r="D78" s="8"/>
      <c r="E78" s="84"/>
      <c r="F78" s="84"/>
      <c r="G78" s="8" t="str">
        <f>IF($B78="","",$D78*IFERROR(VLOOKUP($E78,'⚙️ Settings'!$B$15:$C$20,2,FALSE),1)*IF($F78="Monthly",1,IF($F78="Annual",1/12,IF($F78="Quarterly",1/3,IF($F78="Weekly",52/12,0)))))</f>
        <v/>
      </c>
      <c r="H78" s="5"/>
      <c r="I78" s="5"/>
      <c r="J78" s="84"/>
      <c r="K78" s="84"/>
      <c r="L78" s="5"/>
      <c r="M78" s="6"/>
      <c r="N78" s="84"/>
      <c r="O78" s="84"/>
    </row>
    <row r="79" spans="1:37">
      <c r="B79" s="84"/>
      <c r="C79" s="84"/>
      <c r="D79" s="8"/>
      <c r="E79" s="84"/>
      <c r="F79" s="84"/>
      <c r="G79" s="8" t="str">
        <f>IF($B79="","",$D79*IFERROR(VLOOKUP($E79,'⚙️ Settings'!$B$15:$C$20,2,FALSE),1)*IF($F79="Monthly",1,IF($F79="Annual",1/12,IF($F79="Quarterly",1/3,IF($F79="Weekly",52/12,0)))))</f>
        <v/>
      </c>
      <c r="H79" s="5"/>
      <c r="I79" s="5"/>
      <c r="J79" s="84"/>
      <c r="K79" s="84"/>
      <c r="L79" s="5"/>
      <c r="M79" s="6"/>
      <c r="N79" s="84"/>
      <c r="O79" s="84"/>
    </row>
    <row r="80" spans="1:37">
      <c r="B80" s="84"/>
      <c r="C80" s="84"/>
      <c r="D80" s="8"/>
      <c r="E80" s="84"/>
      <c r="F80" s="84"/>
      <c r="G80" s="8" t="str">
        <f>IF($B80="","",$D80*IFERROR(VLOOKUP($E80,'⚙️ Settings'!$B$15:$C$20,2,FALSE),1)*IF($F80="Monthly",1,IF($F80="Annual",1/12,IF($F80="Quarterly",1/3,IF($F80="Weekly",52/12,0)))))</f>
        <v/>
      </c>
      <c r="H80" s="5"/>
      <c r="I80" s="5"/>
      <c r="J80" s="84"/>
      <c r="K80" s="84"/>
      <c r="L80" s="5"/>
      <c r="M80" s="6"/>
      <c r="N80" s="84"/>
      <c r="O80" s="84"/>
    </row>
    <row r="81" spans="2:15">
      <c r="B81" s="84"/>
      <c r="C81" s="84"/>
      <c r="D81" s="8"/>
      <c r="E81" s="84"/>
      <c r="F81" s="84"/>
      <c r="G81" s="8" t="str">
        <f>IF($B81="","",$D81*IFERROR(VLOOKUP($E81,'⚙️ Settings'!$B$15:$C$20,2,FALSE),1)*IF($F81="Monthly",1,IF($F81="Annual",1/12,IF($F81="Quarterly",1/3,IF($F81="Weekly",52/12,0)))))</f>
        <v/>
      </c>
      <c r="H81" s="5"/>
      <c r="I81" s="5"/>
      <c r="J81" s="84"/>
      <c r="K81" s="84"/>
      <c r="L81" s="5"/>
      <c r="M81" s="6"/>
      <c r="N81" s="84"/>
      <c r="O81" s="84"/>
    </row>
    <row r="82" spans="2:15">
      <c r="B82" s="84"/>
      <c r="C82" s="84"/>
      <c r="D82" s="8"/>
      <c r="E82" s="84"/>
      <c r="F82" s="84"/>
      <c r="G82" s="8" t="str">
        <f>IF($B82="","",$D82*IFERROR(VLOOKUP($E82,'⚙️ Settings'!$B$15:$C$20,2,FALSE),1)*IF($F82="Monthly",1,IF($F82="Annual",1/12,IF($F82="Quarterly",1/3,IF($F82="Weekly",52/12,0)))))</f>
        <v/>
      </c>
      <c r="H82" s="5"/>
      <c r="I82" s="5"/>
      <c r="J82" s="84"/>
      <c r="K82" s="84"/>
      <c r="L82" s="5"/>
      <c r="M82" s="6"/>
      <c r="N82" s="84"/>
      <c r="O82" s="84"/>
    </row>
    <row r="83" spans="2:15">
      <c r="B83" s="84"/>
      <c r="C83" s="84"/>
      <c r="D83" s="8"/>
      <c r="E83" s="84"/>
      <c r="F83" s="84"/>
      <c r="G83" s="8" t="str">
        <f>IF($B83="","",$D83*IFERROR(VLOOKUP($E83,'⚙️ Settings'!$B$15:$C$20,2,FALSE),1)*IF($F83="Monthly",1,IF($F83="Annual",1/12,IF($F83="Quarterly",1/3,IF($F83="Weekly",52/12,0)))))</f>
        <v/>
      </c>
      <c r="H83" s="5"/>
      <c r="I83" s="5"/>
      <c r="J83" s="84"/>
      <c r="K83" s="84"/>
      <c r="L83" s="5"/>
      <c r="M83" s="6"/>
      <c r="N83" s="84"/>
      <c r="O83" s="84"/>
    </row>
    <row r="84" spans="2:15">
      <c r="B84" s="84"/>
      <c r="C84" s="84"/>
      <c r="D84" s="8"/>
      <c r="E84" s="84"/>
      <c r="F84" s="84"/>
      <c r="G84" s="8" t="str">
        <f>IF($B84="","",$D84*IFERROR(VLOOKUP($E84,'⚙️ Settings'!$B$15:$C$20,2,FALSE),1)*IF($F84="Monthly",1,IF($F84="Annual",1/12,IF($F84="Quarterly",1/3,IF($F84="Weekly",52/12,0)))))</f>
        <v/>
      </c>
      <c r="H84" s="5"/>
      <c r="I84" s="5"/>
      <c r="J84" s="84"/>
      <c r="K84" s="84"/>
      <c r="L84" s="5"/>
      <c r="M84" s="6"/>
      <c r="N84" s="84"/>
      <c r="O84" s="84"/>
    </row>
    <row r="85" spans="2:15">
      <c r="B85" s="84"/>
      <c r="C85" s="84"/>
      <c r="D85" s="8"/>
      <c r="E85" s="84"/>
      <c r="F85" s="84"/>
      <c r="G85" s="8" t="str">
        <f>IF($B85="","",$D85*IFERROR(VLOOKUP($E85,'⚙️ Settings'!$B$15:$C$20,2,FALSE),1)*IF($F85="Monthly",1,IF($F85="Annual",1/12,IF($F85="Quarterly",1/3,IF($F85="Weekly",52/12,0)))))</f>
        <v/>
      </c>
      <c r="H85" s="5"/>
      <c r="I85" s="5"/>
      <c r="J85" s="84"/>
      <c r="K85" s="84"/>
      <c r="L85" s="5"/>
      <c r="M85" s="6"/>
      <c r="N85" s="84"/>
      <c r="O85" s="84"/>
    </row>
    <row r="86" spans="2:15">
      <c r="B86" s="84"/>
      <c r="C86" s="84"/>
      <c r="D86" s="8"/>
      <c r="E86" s="84"/>
      <c r="F86" s="84"/>
      <c r="G86" s="8" t="str">
        <f>IF($B86="","",$D86*IFERROR(VLOOKUP($E86,'⚙️ Settings'!$B$15:$C$20,2,FALSE),1)*IF($F86="Monthly",1,IF($F86="Annual",1/12,IF($F86="Quarterly",1/3,IF($F86="Weekly",52/12,0)))))</f>
        <v/>
      </c>
      <c r="H86" s="5"/>
      <c r="I86" s="5"/>
      <c r="J86" s="84"/>
      <c r="K86" s="84"/>
      <c r="L86" s="5"/>
      <c r="M86" s="6"/>
      <c r="N86" s="84"/>
      <c r="O86" s="84"/>
    </row>
    <row r="87" spans="2:15">
      <c r="B87" s="84"/>
      <c r="C87" s="84"/>
      <c r="D87" s="8"/>
      <c r="E87" s="84"/>
      <c r="F87" s="84"/>
      <c r="G87" s="8" t="str">
        <f>IF($B87="","",$D87*IFERROR(VLOOKUP($E87,'⚙️ Settings'!$B$15:$C$20,2,FALSE),1)*IF($F87="Monthly",1,IF($F87="Annual",1/12,IF($F87="Quarterly",1/3,IF($F87="Weekly",52/12,0)))))</f>
        <v/>
      </c>
      <c r="H87" s="5"/>
      <c r="I87" s="5"/>
      <c r="J87" s="84"/>
      <c r="K87" s="84"/>
      <c r="L87" s="5"/>
      <c r="M87" s="6"/>
      <c r="N87" s="84"/>
      <c r="O87" s="84"/>
    </row>
    <row r="88" spans="2:15">
      <c r="B88" s="84"/>
      <c r="C88" s="84"/>
      <c r="D88" s="8"/>
      <c r="E88" s="84"/>
      <c r="F88" s="84"/>
      <c r="G88" s="8" t="str">
        <f>IF($B88="","",$D88*IFERROR(VLOOKUP($E88,'⚙️ Settings'!$B$15:$C$20,2,FALSE),1)*IF($F88="Monthly",1,IF($F88="Annual",1/12,IF($F88="Quarterly",1/3,IF($F88="Weekly",52/12,0)))))</f>
        <v/>
      </c>
      <c r="H88" s="5"/>
      <c r="I88" s="5"/>
      <c r="J88" s="84"/>
      <c r="K88" s="84"/>
      <c r="L88" s="5"/>
      <c r="M88" s="6"/>
      <c r="N88" s="84"/>
      <c r="O88" s="84"/>
    </row>
    <row r="89" spans="2:15">
      <c r="B89" s="84"/>
      <c r="C89" s="84"/>
      <c r="D89" s="8"/>
      <c r="E89" s="84"/>
      <c r="F89" s="84"/>
      <c r="G89" s="8" t="str">
        <f>IF($B89="","",$D89*IFERROR(VLOOKUP($E89,'⚙️ Settings'!$B$15:$C$20,2,FALSE),1)*IF($F89="Monthly",1,IF($F89="Annual",1/12,IF($F89="Quarterly",1/3,IF($F89="Weekly",52/12,0)))))</f>
        <v/>
      </c>
      <c r="H89" s="5"/>
      <c r="I89" s="5"/>
      <c r="J89" s="84"/>
      <c r="K89" s="84"/>
      <c r="L89" s="5"/>
      <c r="M89" s="6"/>
      <c r="N89" s="84"/>
      <c r="O89" s="84"/>
    </row>
    <row r="90" spans="2:15">
      <c r="B90" s="84"/>
      <c r="C90" s="84"/>
      <c r="D90" s="8"/>
      <c r="E90" s="84"/>
      <c r="F90" s="84"/>
      <c r="G90" s="8" t="str">
        <f>IF($B90="","",$D90*IFERROR(VLOOKUP($E90,'⚙️ Settings'!$B$15:$C$20,2,FALSE),1)*IF($F90="Monthly",1,IF($F90="Annual",1/12,IF($F90="Quarterly",1/3,IF($F90="Weekly",52/12,0)))))</f>
        <v/>
      </c>
      <c r="H90" s="5"/>
      <c r="I90" s="5"/>
      <c r="J90" s="84"/>
      <c r="K90" s="84"/>
      <c r="L90" s="5"/>
      <c r="M90" s="6"/>
      <c r="N90" s="84"/>
      <c r="O90" s="84"/>
    </row>
    <row r="91" spans="2:15">
      <c r="B91" s="84"/>
      <c r="C91" s="84"/>
      <c r="D91" s="8"/>
      <c r="E91" s="84"/>
      <c r="F91" s="84"/>
      <c r="G91" s="8" t="str">
        <f>IF($B91="","",$D91*IFERROR(VLOOKUP($E91,'⚙️ Settings'!$B$15:$C$20,2,FALSE),1)*IF($F91="Monthly",1,IF($F91="Annual",1/12,IF($F91="Quarterly",1/3,IF($F91="Weekly",52/12,0)))))</f>
        <v/>
      </c>
      <c r="H91" s="5"/>
      <c r="I91" s="5"/>
      <c r="J91" s="84"/>
      <c r="K91" s="84"/>
      <c r="L91" s="5"/>
      <c r="M91" s="6"/>
      <c r="N91" s="84"/>
      <c r="O91" s="84"/>
    </row>
    <row r="92" spans="2:15">
      <c r="B92" s="84"/>
      <c r="C92" s="84"/>
      <c r="D92" s="8"/>
      <c r="E92" s="84"/>
      <c r="F92" s="84"/>
      <c r="G92" s="8" t="str">
        <f>IF($B92="","",$D92*IFERROR(VLOOKUP($E92,'⚙️ Settings'!$B$15:$C$20,2,FALSE),1)*IF($F92="Monthly",1,IF($F92="Annual",1/12,IF($F92="Quarterly",1/3,IF($F92="Weekly",52/12,0)))))</f>
        <v/>
      </c>
      <c r="H92" s="5"/>
      <c r="I92" s="5"/>
      <c r="J92" s="84"/>
      <c r="K92" s="84"/>
      <c r="L92" s="5"/>
      <c r="M92" s="6"/>
      <c r="N92" s="84"/>
      <c r="O92" s="84"/>
    </row>
    <row r="93" spans="2:15">
      <c r="B93" s="84"/>
      <c r="C93" s="84"/>
      <c r="D93" s="8"/>
      <c r="E93" s="84"/>
      <c r="F93" s="84"/>
      <c r="G93" s="8" t="str">
        <f>IF($B93="","",$D93*IFERROR(VLOOKUP($E93,'⚙️ Settings'!$B$15:$C$20,2,FALSE),1)*IF($F93="Monthly",1,IF($F93="Annual",1/12,IF($F93="Quarterly",1/3,IF($F93="Weekly",52/12,0)))))</f>
        <v/>
      </c>
      <c r="H93" s="5"/>
      <c r="I93" s="5"/>
      <c r="J93" s="84"/>
      <c r="K93" s="84"/>
      <c r="L93" s="5"/>
      <c r="M93" s="6"/>
      <c r="N93" s="84"/>
      <c r="O93" s="84"/>
    </row>
    <row r="94" spans="2:15">
      <c r="B94" s="84"/>
      <c r="C94" s="84"/>
      <c r="D94" s="8"/>
      <c r="E94" s="84"/>
      <c r="F94" s="84"/>
      <c r="G94" s="8" t="str">
        <f>IF($B94="","",$D94*IFERROR(VLOOKUP($E94,'⚙️ Settings'!$B$15:$C$20,2,FALSE),1)*IF($F94="Monthly",1,IF($F94="Annual",1/12,IF($F94="Quarterly",1/3,IF($F94="Weekly",52/12,0)))))</f>
        <v/>
      </c>
      <c r="H94" s="5"/>
      <c r="I94" s="5"/>
      <c r="J94" s="84"/>
      <c r="K94" s="84"/>
      <c r="L94" s="5"/>
      <c r="M94" s="6"/>
      <c r="N94" s="84"/>
      <c r="O94" s="84"/>
    </row>
    <row r="95" spans="2:15">
      <c r="B95" s="84"/>
      <c r="C95" s="84"/>
      <c r="D95" s="8"/>
      <c r="E95" s="84"/>
      <c r="F95" s="84"/>
      <c r="G95" s="8" t="str">
        <f>IF($B95="","",$D95*IFERROR(VLOOKUP($E95,'⚙️ Settings'!$B$15:$C$20,2,FALSE),1)*IF($F95="Monthly",1,IF($F95="Annual",1/12,IF($F95="Quarterly",1/3,IF($F95="Weekly",52/12,0)))))</f>
        <v/>
      </c>
      <c r="H95" s="5"/>
      <c r="I95" s="5"/>
      <c r="J95" s="84"/>
      <c r="K95" s="84"/>
      <c r="L95" s="5"/>
      <c r="M95" s="6"/>
      <c r="N95" s="84"/>
      <c r="O95" s="84"/>
    </row>
    <row r="96" spans="2:15">
      <c r="B96" s="84"/>
      <c r="C96" s="84"/>
      <c r="D96" s="8"/>
      <c r="E96" s="84"/>
      <c r="F96" s="84"/>
      <c r="G96" s="8" t="str">
        <f>IF($B96="","",$D96*IFERROR(VLOOKUP($E96,'⚙️ Settings'!$B$15:$C$20,2,FALSE),1)*IF($F96="Monthly",1,IF($F96="Annual",1/12,IF($F96="Quarterly",1/3,IF($F96="Weekly",52/12,0)))))</f>
        <v/>
      </c>
      <c r="H96" s="5"/>
      <c r="I96" s="5"/>
      <c r="J96" s="84"/>
      <c r="K96" s="84"/>
      <c r="L96" s="5"/>
      <c r="M96" s="6"/>
      <c r="N96" s="84"/>
      <c r="O96" s="84"/>
    </row>
    <row r="97" spans="2:15">
      <c r="B97" s="84"/>
      <c r="C97" s="84"/>
      <c r="D97" s="8"/>
      <c r="E97" s="84"/>
      <c r="F97" s="84"/>
      <c r="G97" s="8" t="str">
        <f>IF($B97="","",$D97*IFERROR(VLOOKUP($E97,'⚙️ Settings'!$B$15:$C$20,2,FALSE),1)*IF($F97="Monthly",1,IF($F97="Annual",1/12,IF($F97="Quarterly",1/3,IF($F97="Weekly",52/12,0)))))</f>
        <v/>
      </c>
      <c r="H97" s="5"/>
      <c r="I97" s="5"/>
      <c r="J97" s="84"/>
      <c r="K97" s="84"/>
      <c r="L97" s="5"/>
      <c r="M97" s="6"/>
      <c r="N97" s="84"/>
      <c r="O97" s="84"/>
    </row>
    <row r="98" spans="2:15">
      <c r="B98" s="84"/>
      <c r="C98" s="84"/>
      <c r="D98" s="8"/>
      <c r="E98" s="84"/>
      <c r="F98" s="84"/>
      <c r="G98" s="8" t="str">
        <f>IF($B98="","",$D98*IFERROR(VLOOKUP($E98,'⚙️ Settings'!$B$15:$C$20,2,FALSE),1)*IF($F98="Monthly",1,IF($F98="Annual",1/12,IF($F98="Quarterly",1/3,IF($F98="Weekly",52/12,0)))))</f>
        <v/>
      </c>
      <c r="H98" s="5"/>
      <c r="I98" s="5"/>
      <c r="J98" s="84"/>
      <c r="K98" s="84"/>
      <c r="L98" s="5"/>
      <c r="M98" s="6"/>
      <c r="N98" s="84"/>
      <c r="O98" s="84"/>
    </row>
    <row r="99" spans="2:15">
      <c r="B99" s="84"/>
      <c r="C99" s="84"/>
      <c r="D99" s="8"/>
      <c r="E99" s="84"/>
      <c r="F99" s="84"/>
      <c r="G99" s="8" t="str">
        <f>IF($B99="","",$D99*IFERROR(VLOOKUP($E99,'⚙️ Settings'!$B$15:$C$20,2,FALSE),1)*IF($F99="Monthly",1,IF($F99="Annual",1/12,IF($F99="Quarterly",1/3,IF($F99="Weekly",52/12,0)))))</f>
        <v/>
      </c>
      <c r="H99" s="5"/>
      <c r="I99" s="5"/>
      <c r="J99" s="84"/>
      <c r="K99" s="84"/>
      <c r="L99" s="5"/>
      <c r="M99" s="6"/>
      <c r="N99" s="84"/>
      <c r="O99" s="84"/>
    </row>
    <row r="100" spans="2:15">
      <c r="B100" s="84"/>
      <c r="C100" s="84"/>
      <c r="D100" s="8"/>
      <c r="E100" s="84"/>
      <c r="F100" s="84"/>
      <c r="G100" s="8" t="str">
        <f>IF($B100="","",$D100*IFERROR(VLOOKUP($E100,'⚙️ Settings'!$B$15:$C$20,2,FALSE),1)*IF($F100="Monthly",1,IF($F100="Annual",1/12,IF($F100="Quarterly",1/3,IF($F100="Weekly",52/12,0)))))</f>
        <v/>
      </c>
      <c r="H100" s="5"/>
      <c r="I100" s="5"/>
      <c r="J100" s="84"/>
      <c r="K100" s="84"/>
      <c r="L100" s="5"/>
      <c r="M100" s="6"/>
      <c r="N100" s="84"/>
      <c r="O100" s="84"/>
    </row>
    <row r="101" spans="2:15">
      <c r="B101" s="84"/>
      <c r="C101" s="84"/>
      <c r="D101" s="8"/>
      <c r="E101" s="84"/>
      <c r="F101" s="84"/>
      <c r="G101" s="8" t="str">
        <f>IF($B101="","",$D101*IFERROR(VLOOKUP($E101,'⚙️ Settings'!$B$15:$C$20,2,FALSE),1)*IF($F101="Monthly",1,IF($F101="Annual",1/12,IF($F101="Quarterly",1/3,IF($F101="Weekly",52/12,0)))))</f>
        <v/>
      </c>
      <c r="H101" s="5"/>
      <c r="I101" s="5"/>
      <c r="J101" s="84"/>
      <c r="K101" s="84"/>
      <c r="L101" s="5"/>
      <c r="M101" s="6"/>
      <c r="N101" s="84"/>
      <c r="O101" s="84"/>
    </row>
    <row r="102" spans="2:15">
      <c r="B102" s="84"/>
      <c r="C102" s="84"/>
      <c r="D102" s="8"/>
      <c r="E102" s="84"/>
      <c r="F102" s="84"/>
      <c r="G102" s="8" t="str">
        <f>IF($B102="","",$D102*IFERROR(VLOOKUP($E102,'⚙️ Settings'!$B$15:$C$20,2,FALSE),1)*IF($F102="Monthly",1,IF($F102="Annual",1/12,IF($F102="Quarterly",1/3,IF($F102="Weekly",52/12,0)))))</f>
        <v/>
      </c>
      <c r="H102" s="5"/>
      <c r="I102" s="5"/>
      <c r="J102" s="84"/>
      <c r="K102" s="84"/>
      <c r="L102" s="5"/>
      <c r="M102" s="6"/>
      <c r="N102" s="84"/>
      <c r="O102" s="84"/>
    </row>
    <row r="103" spans="2:15">
      <c r="B103" s="84"/>
      <c r="C103" s="84"/>
      <c r="D103" s="8"/>
      <c r="E103" s="84"/>
      <c r="F103" s="84"/>
      <c r="G103" s="8" t="str">
        <f>IF($B103="","",$D103*IFERROR(VLOOKUP($E103,'⚙️ Settings'!$B$15:$C$20,2,FALSE),1)*IF($F103="Monthly",1,IF($F103="Annual",1/12,IF($F103="Quarterly",1/3,IF($F103="Weekly",52/12,0)))))</f>
        <v/>
      </c>
      <c r="H103" s="5"/>
      <c r="I103" s="5"/>
      <c r="J103" s="84"/>
      <c r="K103" s="84"/>
      <c r="L103" s="5"/>
      <c r="M103" s="6"/>
      <c r="N103" s="84"/>
      <c r="O103" s="84"/>
    </row>
    <row r="104" spans="2:15">
      <c r="B104" s="84"/>
      <c r="C104" s="84"/>
      <c r="D104" s="8"/>
      <c r="E104" s="84"/>
      <c r="F104" s="84"/>
      <c r="G104" s="8" t="str">
        <f>IF($B104="","",$D104*IFERROR(VLOOKUP($E104,'⚙️ Settings'!$B$15:$C$20,2,FALSE),1)*IF($F104="Monthly",1,IF($F104="Annual",1/12,IF($F104="Quarterly",1/3,IF($F104="Weekly",52/12,0)))))</f>
        <v/>
      </c>
      <c r="H104" s="5"/>
      <c r="I104" s="5"/>
      <c r="J104" s="84"/>
      <c r="K104" s="84"/>
      <c r="L104" s="5"/>
      <c r="M104" s="6"/>
      <c r="N104" s="84"/>
      <c r="O104" s="84"/>
    </row>
    <row r="105" spans="2:15">
      <c r="B105" s="84"/>
      <c r="C105" s="84"/>
      <c r="D105" s="8"/>
      <c r="E105" s="84"/>
      <c r="F105" s="84"/>
      <c r="G105" s="8" t="str">
        <f>IF($B105="","",$D105*IFERROR(VLOOKUP($E105,'⚙️ Settings'!$B$15:$C$20,2,FALSE),1)*IF($F105="Monthly",1,IF($F105="Annual",1/12,IF($F105="Quarterly",1/3,IF($F105="Weekly",52/12,0)))))</f>
        <v/>
      </c>
      <c r="H105" s="5"/>
      <c r="I105" s="5"/>
      <c r="J105" s="84"/>
      <c r="K105" s="84"/>
      <c r="L105" s="5"/>
      <c r="M105" s="6"/>
      <c r="N105" s="84"/>
      <c r="O105" s="84"/>
    </row>
    <row r="106" spans="2:15">
      <c r="B106" s="84"/>
      <c r="C106" s="84"/>
      <c r="D106" s="8"/>
      <c r="E106" s="84"/>
      <c r="F106" s="84"/>
      <c r="G106" s="8" t="str">
        <f>IF($B106="","",$D106*IFERROR(VLOOKUP($E106,'⚙️ Settings'!$B$15:$C$20,2,FALSE),1)*IF($F106="Monthly",1,IF($F106="Annual",1/12,IF($F106="Quarterly",1/3,IF($F106="Weekly",52/12,0)))))</f>
        <v/>
      </c>
      <c r="H106" s="5"/>
      <c r="I106" s="5"/>
      <c r="J106" s="84"/>
      <c r="K106" s="84"/>
      <c r="L106" s="5"/>
      <c r="M106" s="6"/>
      <c r="N106" s="84"/>
      <c r="O106" s="84"/>
    </row>
    <row r="107" spans="2:15">
      <c r="B107" s="84"/>
      <c r="C107" s="84"/>
      <c r="D107" s="8"/>
      <c r="E107" s="84"/>
      <c r="F107" s="84"/>
      <c r="G107" s="8" t="str">
        <f>IF($B107="","",$D107*IFERROR(VLOOKUP($E107,'⚙️ Settings'!$B$15:$C$20,2,FALSE),1)*IF($F107="Monthly",1,IF($F107="Annual",1/12,IF($F107="Quarterly",1/3,IF($F107="Weekly",52/12,0)))))</f>
        <v/>
      </c>
      <c r="H107" s="5"/>
      <c r="I107" s="5"/>
      <c r="J107" s="84"/>
      <c r="K107" s="84"/>
      <c r="L107" s="5"/>
      <c r="M107" s="6"/>
      <c r="N107" s="84"/>
      <c r="O107" s="84"/>
    </row>
    <row r="108" spans="2:15">
      <c r="B108" s="84"/>
      <c r="C108" s="84"/>
      <c r="D108" s="8"/>
      <c r="E108" s="84"/>
      <c r="F108" s="84"/>
      <c r="G108" s="8" t="str">
        <f>IF($B108="","",$D108*IFERROR(VLOOKUP($E108,'⚙️ Settings'!$B$15:$C$20,2,FALSE),1)*IF($F108="Monthly",1,IF($F108="Annual",1/12,IF($F108="Quarterly",1/3,IF($F108="Weekly",52/12,0)))))</f>
        <v/>
      </c>
      <c r="H108" s="5"/>
      <c r="I108" s="5"/>
      <c r="J108" s="84"/>
      <c r="K108" s="84"/>
      <c r="L108" s="5"/>
      <c r="M108" s="6"/>
      <c r="N108" s="84"/>
      <c r="O108" s="84"/>
    </row>
    <row r="109" spans="2:15">
      <c r="B109" s="84"/>
      <c r="C109" s="84"/>
      <c r="D109" s="8"/>
      <c r="E109" s="84"/>
      <c r="F109" s="84"/>
      <c r="G109" s="8" t="str">
        <f>IF($B109="","",$D109*IFERROR(VLOOKUP($E109,'⚙️ Settings'!$B$15:$C$20,2,FALSE),1)*IF($F109="Monthly",1,IF($F109="Annual",1/12,IF($F109="Quarterly",1/3,IF($F109="Weekly",52/12,0)))))</f>
        <v/>
      </c>
      <c r="H109" s="5"/>
      <c r="I109" s="5"/>
      <c r="J109" s="84"/>
      <c r="K109" s="84"/>
      <c r="L109" s="5"/>
      <c r="M109" s="6"/>
      <c r="N109" s="84"/>
      <c r="O109" s="84"/>
    </row>
    <row r="110" spans="2:15">
      <c r="B110" s="84"/>
      <c r="C110" s="84"/>
      <c r="D110" s="8"/>
      <c r="E110" s="84"/>
      <c r="F110" s="84"/>
      <c r="G110" s="8" t="str">
        <f>IF($B110="","",$D110*IFERROR(VLOOKUP($E110,'⚙️ Settings'!$B$15:$C$20,2,FALSE),1)*IF($F110="Monthly",1,IF($F110="Annual",1/12,IF($F110="Quarterly",1/3,IF($F110="Weekly",52/12,0)))))</f>
        <v/>
      </c>
      <c r="H110" s="5"/>
      <c r="I110" s="5"/>
      <c r="J110" s="84"/>
      <c r="K110" s="84"/>
      <c r="L110" s="5"/>
      <c r="M110" s="6"/>
      <c r="N110" s="84"/>
      <c r="O110" s="84"/>
    </row>
    <row r="111" spans="2:15">
      <c r="B111" s="84"/>
      <c r="C111" s="84"/>
      <c r="D111" s="8"/>
      <c r="E111" s="84"/>
      <c r="F111" s="84"/>
      <c r="G111" s="8" t="str">
        <f>IF($B111="","",$D111*IFERROR(VLOOKUP($E111,'⚙️ Settings'!$B$15:$C$20,2,FALSE),1)*IF($F111="Monthly",1,IF($F111="Annual",1/12,IF($F111="Quarterly",1/3,IF($F111="Weekly",52/12,0)))))</f>
        <v/>
      </c>
      <c r="H111" s="5"/>
      <c r="I111" s="5"/>
      <c r="J111" s="84"/>
      <c r="K111" s="84"/>
      <c r="L111" s="5"/>
      <c r="M111" s="6"/>
      <c r="N111" s="84"/>
      <c r="O111" s="84"/>
    </row>
    <row r="112" spans="2:15">
      <c r="B112" s="84"/>
      <c r="C112" s="84"/>
      <c r="D112" s="8"/>
      <c r="E112" s="84"/>
      <c r="F112" s="84"/>
      <c r="G112" s="8" t="str">
        <f>IF($B112="","",$D112*IFERROR(VLOOKUP($E112,'⚙️ Settings'!$B$15:$C$20,2,FALSE),1)*IF($F112="Monthly",1,IF($F112="Annual",1/12,IF($F112="Quarterly",1/3,IF($F112="Weekly",52/12,0)))))</f>
        <v/>
      </c>
      <c r="H112" s="5"/>
      <c r="I112" s="5"/>
      <c r="J112" s="84"/>
      <c r="K112" s="84"/>
      <c r="L112" s="5"/>
      <c r="M112" s="6"/>
      <c r="N112" s="84"/>
      <c r="O112" s="84"/>
    </row>
    <row r="113" spans="2:15">
      <c r="B113" s="84"/>
      <c r="C113" s="84"/>
      <c r="D113" s="8"/>
      <c r="E113" s="84"/>
      <c r="F113" s="84"/>
      <c r="G113" s="8" t="str">
        <f>IF($B113="","",$D113*IFERROR(VLOOKUP($E113,'⚙️ Settings'!$B$15:$C$20,2,FALSE),1)*IF($F113="Monthly",1,IF($F113="Annual",1/12,IF($F113="Quarterly",1/3,IF($F113="Weekly",52/12,0)))))</f>
        <v/>
      </c>
      <c r="H113" s="5"/>
      <c r="I113" s="5"/>
      <c r="J113" s="84"/>
      <c r="K113" s="84"/>
      <c r="L113" s="5"/>
      <c r="M113" s="6"/>
      <c r="N113" s="84"/>
      <c r="O113" s="84"/>
    </row>
    <row r="114" spans="2:15">
      <c r="B114" s="84"/>
      <c r="C114" s="84"/>
      <c r="D114" s="8"/>
      <c r="E114" s="84"/>
      <c r="F114" s="84"/>
      <c r="G114" s="8" t="str">
        <f>IF($B114="","",$D114*IFERROR(VLOOKUP($E114,'⚙️ Settings'!$B$15:$C$20,2,FALSE),1)*IF($F114="Monthly",1,IF($F114="Annual",1/12,IF($F114="Quarterly",1/3,IF($F114="Weekly",52/12,0)))))</f>
        <v/>
      </c>
      <c r="H114" s="5"/>
      <c r="I114" s="5"/>
      <c r="J114" s="84"/>
      <c r="K114" s="84"/>
      <c r="L114" s="5"/>
      <c r="M114" s="6"/>
      <c r="N114" s="84"/>
      <c r="O114" s="84"/>
    </row>
    <row r="115" spans="2:15">
      <c r="B115" s="84"/>
      <c r="C115" s="84"/>
      <c r="D115" s="8"/>
      <c r="E115" s="84"/>
      <c r="F115" s="84"/>
      <c r="G115" s="8" t="str">
        <f>IF($B115="","",$D115*IFERROR(VLOOKUP($E115,'⚙️ Settings'!$B$15:$C$20,2,FALSE),1)*IF($F115="Monthly",1,IF($F115="Annual",1/12,IF($F115="Quarterly",1/3,IF($F115="Weekly",52/12,0)))))</f>
        <v/>
      </c>
      <c r="H115" s="5"/>
      <c r="I115" s="5"/>
      <c r="J115" s="84"/>
      <c r="K115" s="84"/>
      <c r="L115" s="5"/>
      <c r="M115" s="6"/>
      <c r="N115" s="84"/>
      <c r="O115" s="84"/>
    </row>
    <row r="116" spans="2:15">
      <c r="B116" s="84"/>
      <c r="C116" s="84"/>
      <c r="D116" s="8"/>
      <c r="E116" s="84"/>
      <c r="F116" s="84"/>
      <c r="G116" s="8" t="str">
        <f>IF($B116="","",$D116*IFERROR(VLOOKUP($E116,'⚙️ Settings'!$B$15:$C$20,2,FALSE),1)*IF($F116="Monthly",1,IF($F116="Annual",1/12,IF($F116="Quarterly",1/3,IF($F116="Weekly",52/12,0)))))</f>
        <v/>
      </c>
      <c r="H116" s="5"/>
      <c r="I116" s="5"/>
      <c r="J116" s="84"/>
      <c r="K116" s="84"/>
      <c r="L116" s="5"/>
      <c r="M116" s="6"/>
      <c r="N116" s="84"/>
      <c r="O116" s="84"/>
    </row>
    <row r="117" spans="2:15">
      <c r="B117" s="84"/>
      <c r="C117" s="84"/>
      <c r="D117" s="8"/>
      <c r="E117" s="84"/>
      <c r="F117" s="84"/>
      <c r="G117" s="8" t="str">
        <f>IF($B117="","",$D117*IFERROR(VLOOKUP($E117,'⚙️ Settings'!$B$15:$C$20,2,FALSE),1)*IF($F117="Monthly",1,IF($F117="Annual",1/12,IF($F117="Quarterly",1/3,IF($F117="Weekly",52/12,0)))))</f>
        <v/>
      </c>
      <c r="H117" s="5"/>
      <c r="I117" s="5"/>
      <c r="J117" s="84"/>
      <c r="K117" s="84"/>
      <c r="L117" s="5"/>
      <c r="M117" s="6"/>
      <c r="N117" s="84"/>
      <c r="O117" s="84"/>
    </row>
    <row r="118" spans="2:15">
      <c r="B118" s="84"/>
      <c r="C118" s="84"/>
      <c r="D118" s="8"/>
      <c r="E118" s="84"/>
      <c r="F118" s="84"/>
      <c r="G118" s="8" t="str">
        <f>IF($B118="","",$D118*IFERROR(VLOOKUP($E118,'⚙️ Settings'!$B$15:$C$20,2,FALSE),1)*IF($F118="Monthly",1,IF($F118="Annual",1/12,IF($F118="Quarterly",1/3,IF($F118="Weekly",52/12,0)))))</f>
        <v/>
      </c>
      <c r="H118" s="5"/>
      <c r="I118" s="5"/>
      <c r="J118" s="84"/>
      <c r="K118" s="84"/>
      <c r="L118" s="5"/>
      <c r="M118" s="6"/>
      <c r="N118" s="84"/>
      <c r="O118" s="84"/>
    </row>
    <row r="119" spans="2:15">
      <c r="B119" s="84"/>
      <c r="C119" s="84"/>
      <c r="D119" s="8"/>
      <c r="E119" s="84"/>
      <c r="F119" s="84"/>
      <c r="G119" s="8" t="str">
        <f>IF($B119="","",$D119*IFERROR(VLOOKUP($E119,'⚙️ Settings'!$B$15:$C$20,2,FALSE),1)*IF($F119="Monthly",1,IF($F119="Annual",1/12,IF($F119="Quarterly",1/3,IF($F119="Weekly",52/12,0)))))</f>
        <v/>
      </c>
      <c r="H119" s="5"/>
      <c r="I119" s="5"/>
      <c r="J119" s="84"/>
      <c r="K119" s="84"/>
      <c r="L119" s="5"/>
      <c r="M119" s="6"/>
      <c r="N119" s="84"/>
      <c r="O119" s="84"/>
    </row>
    <row r="120" spans="2:15">
      <c r="B120" s="84"/>
      <c r="C120" s="84"/>
      <c r="D120" s="8"/>
      <c r="E120" s="84"/>
      <c r="F120" s="84"/>
      <c r="G120" s="8" t="str">
        <f>IF($B120="","",$D120*IFERROR(VLOOKUP($E120,'⚙️ Settings'!$B$15:$C$20,2,FALSE),1)*IF($F120="Monthly",1,IF($F120="Annual",1/12,IF($F120="Quarterly",1/3,IF($F120="Weekly",52/12,0)))))</f>
        <v/>
      </c>
      <c r="H120" s="5"/>
      <c r="I120" s="5"/>
      <c r="J120" s="84"/>
      <c r="K120" s="84"/>
      <c r="L120" s="5"/>
      <c r="M120" s="6"/>
      <c r="N120" s="84"/>
      <c r="O120" s="84"/>
    </row>
    <row r="121" spans="2:15">
      <c r="B121" s="84"/>
      <c r="C121" s="84"/>
      <c r="D121" s="8"/>
      <c r="E121" s="84"/>
      <c r="F121" s="84"/>
      <c r="G121" s="8" t="str">
        <f>IF($B121="","",$D121*IFERROR(VLOOKUP($E121,'⚙️ Settings'!$B$15:$C$20,2,FALSE),1)*IF($F121="Monthly",1,IF($F121="Annual",1/12,IF($F121="Quarterly",1/3,IF($F121="Weekly",52/12,0)))))</f>
        <v/>
      </c>
      <c r="H121" s="5"/>
      <c r="I121" s="5"/>
      <c r="J121" s="84"/>
      <c r="K121" s="84"/>
      <c r="L121" s="5"/>
      <c r="M121" s="6"/>
      <c r="N121" s="84"/>
      <c r="O121" s="84"/>
    </row>
    <row r="122" spans="2:15">
      <c r="B122" s="84"/>
      <c r="C122" s="84"/>
      <c r="D122" s="8"/>
      <c r="E122" s="84"/>
      <c r="F122" s="84"/>
      <c r="G122" s="8" t="str">
        <f>IF($B122="","",$D122*IFERROR(VLOOKUP($E122,'⚙️ Settings'!$B$15:$C$20,2,FALSE),1)*IF($F122="Monthly",1,IF($F122="Annual",1/12,IF($F122="Quarterly",1/3,IF($F122="Weekly",52/12,0)))))</f>
        <v/>
      </c>
      <c r="H122" s="5"/>
      <c r="I122" s="5"/>
      <c r="J122" s="84"/>
      <c r="K122" s="84"/>
      <c r="L122" s="5"/>
      <c r="M122" s="6"/>
      <c r="N122" s="84"/>
      <c r="O122" s="84"/>
    </row>
    <row r="123" spans="2:15">
      <c r="B123" s="84"/>
      <c r="C123" s="84"/>
      <c r="D123" s="8"/>
      <c r="E123" s="84"/>
      <c r="F123" s="84"/>
      <c r="G123" s="8" t="str">
        <f>IF($B123="","",$D123*IFERROR(VLOOKUP($E123,'⚙️ Settings'!$B$15:$C$20,2,FALSE),1)*IF($F123="Monthly",1,IF($F123="Annual",1/12,IF($F123="Quarterly",1/3,IF($F123="Weekly",52/12,0)))))</f>
        <v/>
      </c>
      <c r="H123" s="5"/>
      <c r="I123" s="5"/>
      <c r="J123" s="84"/>
      <c r="K123" s="84"/>
      <c r="L123" s="5"/>
      <c r="M123" s="6"/>
      <c r="N123" s="84"/>
      <c r="O123" s="84"/>
    </row>
    <row r="124" spans="2:15">
      <c r="B124" s="84"/>
      <c r="C124" s="84"/>
      <c r="D124" s="8"/>
      <c r="E124" s="84"/>
      <c r="F124" s="84"/>
      <c r="G124" s="8" t="str">
        <f>IF($B124="","",$D124*IFERROR(VLOOKUP($E124,'⚙️ Settings'!$B$15:$C$20,2,FALSE),1)*IF($F124="Monthly",1,IF($F124="Annual",1/12,IF($F124="Quarterly",1/3,IF($F124="Weekly",52/12,0)))))</f>
        <v/>
      </c>
      <c r="H124" s="5"/>
      <c r="I124" s="5"/>
      <c r="J124" s="84"/>
      <c r="K124" s="84"/>
      <c r="L124" s="5"/>
      <c r="M124" s="6"/>
      <c r="N124" s="84"/>
      <c r="O124" s="84"/>
    </row>
    <row r="125" spans="2:15">
      <c r="B125" s="84"/>
      <c r="C125" s="84"/>
      <c r="D125" s="8"/>
      <c r="E125" s="84"/>
      <c r="F125" s="84"/>
      <c r="G125" s="8" t="str">
        <f>IF($B125="","",$D125*IFERROR(VLOOKUP($E125,'⚙️ Settings'!$B$15:$C$20,2,FALSE),1)*IF($F125="Monthly",1,IF($F125="Annual",1/12,IF($F125="Quarterly",1/3,IF($F125="Weekly",52/12,0)))))</f>
        <v/>
      </c>
      <c r="H125" s="5"/>
      <c r="I125" s="5"/>
      <c r="J125" s="84"/>
      <c r="K125" s="84"/>
      <c r="L125" s="5"/>
      <c r="M125" s="6"/>
      <c r="N125" s="84"/>
      <c r="O125" s="84"/>
    </row>
    <row r="126" spans="2:15">
      <c r="B126" s="84"/>
      <c r="C126" s="84"/>
      <c r="D126" s="8"/>
      <c r="E126" s="84"/>
      <c r="F126" s="84"/>
      <c r="G126" s="8" t="str">
        <f>IF($B126="","",$D126*IFERROR(VLOOKUP($E126,'⚙️ Settings'!$B$15:$C$20,2,FALSE),1)*IF($F126="Monthly",1,IF($F126="Annual",1/12,IF($F126="Quarterly",1/3,IF($F126="Weekly",52/12,0)))))</f>
        <v/>
      </c>
      <c r="H126" s="5"/>
      <c r="I126" s="5"/>
      <c r="J126" s="84"/>
      <c r="K126" s="84"/>
      <c r="L126" s="5"/>
      <c r="M126" s="6"/>
      <c r="N126" s="84"/>
      <c r="O126" s="84"/>
    </row>
    <row r="127" spans="2:15">
      <c r="B127" s="84"/>
      <c r="C127" s="84"/>
      <c r="D127" s="8"/>
      <c r="E127" s="84"/>
      <c r="F127" s="84"/>
      <c r="G127" s="8" t="str">
        <f>IF($B127="","",$D127*IFERROR(VLOOKUP($E127,'⚙️ Settings'!$B$15:$C$20,2,FALSE),1)*IF($F127="Monthly",1,IF($F127="Annual",1/12,IF($F127="Quarterly",1/3,IF($F127="Weekly",52/12,0)))))</f>
        <v/>
      </c>
      <c r="H127" s="5"/>
      <c r="I127" s="5"/>
      <c r="J127" s="84"/>
      <c r="K127" s="84"/>
      <c r="L127" s="5"/>
      <c r="M127" s="6"/>
      <c r="N127" s="84"/>
      <c r="O127" s="84"/>
    </row>
    <row r="128" spans="2:15">
      <c r="B128" s="84"/>
      <c r="C128" s="84"/>
      <c r="D128" s="8"/>
      <c r="E128" s="84"/>
      <c r="F128" s="84"/>
      <c r="G128" s="8" t="str">
        <f>IF($B128="","",$D128*IFERROR(VLOOKUP($E128,'⚙️ Settings'!$B$15:$C$20,2,FALSE),1)*IF($F128="Monthly",1,IF($F128="Annual",1/12,IF($F128="Quarterly",1/3,IF($F128="Weekly",52/12,0)))))</f>
        <v/>
      </c>
      <c r="H128" s="5"/>
      <c r="I128" s="5"/>
      <c r="J128" s="84"/>
      <c r="K128" s="84"/>
      <c r="L128" s="5"/>
      <c r="M128" s="6"/>
      <c r="N128" s="84"/>
      <c r="O128" s="84"/>
    </row>
    <row r="129" spans="2:15">
      <c r="B129" s="84"/>
      <c r="C129" s="84"/>
      <c r="D129" s="8"/>
      <c r="E129" s="84"/>
      <c r="F129" s="84"/>
      <c r="G129" s="8" t="str">
        <f>IF($B129="","",$D129*IFERROR(VLOOKUP($E129,'⚙️ Settings'!$B$15:$C$20,2,FALSE),1)*IF($F129="Monthly",1,IF($F129="Annual",1/12,IF($F129="Quarterly",1/3,IF($F129="Weekly",52/12,0)))))</f>
        <v/>
      </c>
      <c r="H129" s="5"/>
      <c r="I129" s="5"/>
      <c r="J129" s="84"/>
      <c r="K129" s="84"/>
      <c r="L129" s="5"/>
      <c r="M129" s="6"/>
      <c r="N129" s="84"/>
      <c r="O129" s="84"/>
    </row>
    <row r="130" spans="2:15">
      <c r="B130" s="84"/>
      <c r="C130" s="84"/>
      <c r="D130" s="8"/>
      <c r="E130" s="84"/>
      <c r="F130" s="84"/>
      <c r="G130" s="8" t="str">
        <f>IF($B130="","",$D130*IFERROR(VLOOKUP($E130,'⚙️ Settings'!$B$15:$C$20,2,FALSE),1)*IF($F130="Monthly",1,IF($F130="Annual",1/12,IF($F130="Quarterly",1/3,IF($F130="Weekly",52/12,0)))))</f>
        <v/>
      </c>
      <c r="H130" s="5"/>
      <c r="I130" s="5"/>
      <c r="J130" s="84"/>
      <c r="K130" s="84"/>
      <c r="L130" s="5"/>
      <c r="M130" s="6"/>
      <c r="N130" s="84"/>
      <c r="O130" s="84"/>
    </row>
    <row r="131" spans="2:15">
      <c r="B131" s="84"/>
      <c r="C131" s="84"/>
      <c r="D131" s="8"/>
      <c r="E131" s="84"/>
      <c r="F131" s="84"/>
      <c r="G131" s="8" t="str">
        <f>IF($B131="","",$D131*IFERROR(VLOOKUP($E131,'⚙️ Settings'!$B$15:$C$20,2,FALSE),1)*IF($F131="Monthly",1,IF($F131="Annual",1/12,IF($F131="Quarterly",1/3,IF($F131="Weekly",52/12,0)))))</f>
        <v/>
      </c>
      <c r="H131" s="5"/>
      <c r="I131" s="5"/>
      <c r="J131" s="84"/>
      <c r="K131" s="84"/>
      <c r="L131" s="5"/>
      <c r="M131" s="6"/>
      <c r="N131" s="84"/>
      <c r="O131" s="84"/>
    </row>
    <row r="132" spans="2:15">
      <c r="B132" s="84"/>
      <c r="C132" s="84"/>
      <c r="D132" s="8"/>
      <c r="E132" s="84"/>
      <c r="F132" s="84"/>
      <c r="G132" s="8" t="str">
        <f>IF($B132="","",$D132*IFERROR(VLOOKUP($E132,'⚙️ Settings'!$B$15:$C$20,2,FALSE),1)*IF($F132="Monthly",1,IF($F132="Annual",1/12,IF($F132="Quarterly",1/3,IF($F132="Weekly",52/12,0)))))</f>
        <v/>
      </c>
      <c r="H132" s="5"/>
      <c r="I132" s="5"/>
      <c r="J132" s="84"/>
      <c r="K132" s="84"/>
      <c r="L132" s="5"/>
      <c r="M132" s="6"/>
      <c r="N132" s="84"/>
      <c r="O132" s="84"/>
    </row>
    <row r="133" spans="2:15">
      <c r="B133" s="84"/>
      <c r="C133" s="84"/>
      <c r="D133" s="8"/>
      <c r="E133" s="84"/>
      <c r="F133" s="84"/>
      <c r="G133" s="8" t="str">
        <f>IF($B133="","",$D133*IFERROR(VLOOKUP($E133,'⚙️ Settings'!$B$15:$C$20,2,FALSE),1)*IF($F133="Monthly",1,IF($F133="Annual",1/12,IF($F133="Quarterly",1/3,IF($F133="Weekly",52/12,0)))))</f>
        <v/>
      </c>
      <c r="H133" s="5"/>
      <c r="I133" s="5"/>
      <c r="J133" s="84"/>
      <c r="K133" s="84"/>
      <c r="L133" s="5"/>
      <c r="M133" s="6"/>
      <c r="N133" s="84"/>
      <c r="O133" s="84"/>
    </row>
    <row r="134" spans="2:15">
      <c r="B134" s="84"/>
      <c r="C134" s="84"/>
      <c r="D134" s="8"/>
      <c r="E134" s="84"/>
      <c r="F134" s="84"/>
      <c r="G134" s="8" t="str">
        <f>IF($B134="","",$D134*IFERROR(VLOOKUP($E134,'⚙️ Settings'!$B$15:$C$20,2,FALSE),1)*IF($F134="Monthly",1,IF($F134="Annual",1/12,IF($F134="Quarterly",1/3,IF($F134="Weekly",52/12,0)))))</f>
        <v/>
      </c>
      <c r="H134" s="5"/>
      <c r="I134" s="5"/>
      <c r="J134" s="84"/>
      <c r="K134" s="84"/>
      <c r="L134" s="5"/>
      <c r="M134" s="6"/>
      <c r="N134" s="84"/>
      <c r="O134" s="84"/>
    </row>
    <row r="135" spans="2:15">
      <c r="B135" s="84"/>
      <c r="C135" s="84"/>
      <c r="D135" s="8"/>
      <c r="E135" s="84"/>
      <c r="F135" s="84"/>
      <c r="G135" s="8" t="str">
        <f>IF($B135="","",$D135*IFERROR(VLOOKUP($E135,'⚙️ Settings'!$B$15:$C$20,2,FALSE),1)*IF($F135="Monthly",1,IF($F135="Annual",1/12,IF($F135="Quarterly",1/3,IF($F135="Weekly",52/12,0)))))</f>
        <v/>
      </c>
      <c r="H135" s="5"/>
      <c r="I135" s="5"/>
      <c r="J135" s="84"/>
      <c r="K135" s="84"/>
      <c r="L135" s="5"/>
      <c r="M135" s="6"/>
      <c r="N135" s="84"/>
      <c r="O135" s="84"/>
    </row>
    <row r="136" spans="2:15">
      <c r="B136" s="84"/>
      <c r="C136" s="84"/>
      <c r="D136" s="8"/>
      <c r="E136" s="84"/>
      <c r="F136" s="84"/>
      <c r="G136" s="8" t="str">
        <f>IF($B136="","",$D136*IFERROR(VLOOKUP($E136,'⚙️ Settings'!$B$15:$C$20,2,FALSE),1)*IF($F136="Monthly",1,IF($F136="Annual",1/12,IF($F136="Quarterly",1/3,IF($F136="Weekly",52/12,0)))))</f>
        <v/>
      </c>
      <c r="H136" s="5"/>
      <c r="I136" s="5"/>
      <c r="J136" s="84"/>
      <c r="K136" s="84"/>
      <c r="L136" s="5"/>
      <c r="M136" s="6"/>
      <c r="N136" s="84"/>
      <c r="O136" s="84"/>
    </row>
    <row r="137" spans="2:15">
      <c r="B137" s="84"/>
      <c r="C137" s="84"/>
      <c r="D137" s="8"/>
      <c r="E137" s="84"/>
      <c r="F137" s="84"/>
      <c r="G137" s="8" t="str">
        <f>IF($B137="","",$D137*IFERROR(VLOOKUP($E137,'⚙️ Settings'!$B$15:$C$20,2,FALSE),1)*IF($F137="Monthly",1,IF($F137="Annual",1/12,IF($F137="Quarterly",1/3,IF($F137="Weekly",52/12,0)))))</f>
        <v/>
      </c>
      <c r="H137" s="5"/>
      <c r="I137" s="5"/>
      <c r="J137" s="84"/>
      <c r="K137" s="84"/>
      <c r="L137" s="5"/>
      <c r="M137" s="6"/>
      <c r="N137" s="84"/>
      <c r="O137" s="84"/>
    </row>
    <row r="138" spans="2:15">
      <c r="B138" s="84"/>
      <c r="C138" s="84"/>
      <c r="D138" s="8"/>
      <c r="E138" s="84"/>
      <c r="F138" s="84"/>
      <c r="G138" s="8" t="str">
        <f>IF($B138="","",$D138*IFERROR(VLOOKUP($E138,'⚙️ Settings'!$B$15:$C$20,2,FALSE),1)*IF($F138="Monthly",1,IF($F138="Annual",1/12,IF($F138="Quarterly",1/3,IF($F138="Weekly",52/12,0)))))</f>
        <v/>
      </c>
      <c r="H138" s="5"/>
      <c r="I138" s="5"/>
      <c r="J138" s="84"/>
      <c r="K138" s="84"/>
      <c r="L138" s="5"/>
      <c r="M138" s="6"/>
      <c r="N138" s="84"/>
      <c r="O138" s="84"/>
    </row>
    <row r="139" spans="2:15">
      <c r="B139" s="84"/>
      <c r="C139" s="84"/>
      <c r="D139" s="8"/>
      <c r="E139" s="84"/>
      <c r="F139" s="84"/>
      <c r="G139" s="8" t="str">
        <f>IF($B139="","",$D139*IFERROR(VLOOKUP($E139,'⚙️ Settings'!$B$15:$C$20,2,FALSE),1)*IF($F139="Monthly",1,IF($F139="Annual",1/12,IF($F139="Quarterly",1/3,IF($F139="Weekly",52/12,0)))))</f>
        <v/>
      </c>
      <c r="H139" s="5"/>
      <c r="I139" s="5"/>
      <c r="J139" s="84"/>
      <c r="K139" s="84"/>
      <c r="L139" s="5"/>
      <c r="M139" s="6"/>
      <c r="N139" s="84"/>
      <c r="O139" s="84"/>
    </row>
    <row r="140" spans="2:15">
      <c r="B140" s="84"/>
      <c r="C140" s="84"/>
      <c r="D140" s="8"/>
      <c r="E140" s="84"/>
      <c r="F140" s="84"/>
      <c r="G140" s="8" t="str">
        <f>IF($B140="","",$D140*IFERROR(VLOOKUP($E140,'⚙️ Settings'!$B$15:$C$20,2,FALSE),1)*IF($F140="Monthly",1,IF($F140="Annual",1/12,IF($F140="Quarterly",1/3,IF($F140="Weekly",52/12,0)))))</f>
        <v/>
      </c>
      <c r="H140" s="5"/>
      <c r="I140" s="5"/>
      <c r="J140" s="84"/>
      <c r="K140" s="84"/>
      <c r="L140" s="5"/>
      <c r="M140" s="6"/>
      <c r="N140" s="84"/>
      <c r="O140" s="84"/>
    </row>
    <row r="141" spans="2:15">
      <c r="B141" s="84"/>
      <c r="C141" s="84"/>
      <c r="D141" s="8"/>
      <c r="E141" s="84"/>
      <c r="F141" s="84"/>
      <c r="G141" s="8" t="str">
        <f>IF($B141="","",$D141*IFERROR(VLOOKUP($E141,'⚙️ Settings'!$B$15:$C$20,2,FALSE),1)*IF($F141="Monthly",1,IF($F141="Annual",1/12,IF($F141="Quarterly",1/3,IF($F141="Weekly",52/12,0)))))</f>
        <v/>
      </c>
      <c r="H141" s="5"/>
      <c r="I141" s="5"/>
      <c r="J141" s="84"/>
      <c r="K141" s="84"/>
      <c r="L141" s="5"/>
      <c r="M141" s="6"/>
      <c r="N141" s="84"/>
      <c r="O141" s="84"/>
    </row>
    <row r="142" spans="2:15">
      <c r="B142" s="84"/>
      <c r="C142" s="84"/>
      <c r="D142" s="8"/>
      <c r="E142" s="84"/>
      <c r="F142" s="84"/>
      <c r="G142" s="8" t="str">
        <f>IF($B142="","",$D142*IFERROR(VLOOKUP($E142,'⚙️ Settings'!$B$15:$C$20,2,FALSE),1)*IF($F142="Monthly",1,IF($F142="Annual",1/12,IF($F142="Quarterly",1/3,IF($F142="Weekly",52/12,0)))))</f>
        <v/>
      </c>
      <c r="H142" s="5"/>
      <c r="I142" s="5"/>
      <c r="J142" s="84"/>
      <c r="K142" s="84"/>
      <c r="L142" s="5"/>
      <c r="M142" s="6"/>
      <c r="N142" s="84"/>
      <c r="O142" s="84"/>
    </row>
    <row r="143" spans="2:15">
      <c r="B143" s="84"/>
      <c r="C143" s="84"/>
      <c r="D143" s="8"/>
      <c r="E143" s="84"/>
      <c r="F143" s="84"/>
      <c r="G143" s="8" t="str">
        <f>IF($B143="","",$D143*IFERROR(VLOOKUP($E143,'⚙️ Settings'!$B$15:$C$20,2,FALSE),1)*IF($F143="Monthly",1,IF($F143="Annual",1/12,IF($F143="Quarterly",1/3,IF($F143="Weekly",52/12,0)))))</f>
        <v/>
      </c>
      <c r="H143" s="5"/>
      <c r="I143" s="5"/>
      <c r="J143" s="84"/>
      <c r="K143" s="84"/>
      <c r="L143" s="5"/>
      <c r="M143" s="6"/>
      <c r="N143" s="84"/>
      <c r="O143" s="84"/>
    </row>
    <row r="144" spans="2:15">
      <c r="B144" s="84"/>
      <c r="C144" s="84"/>
      <c r="D144" s="8"/>
      <c r="E144" s="84"/>
      <c r="F144" s="84"/>
      <c r="G144" s="8" t="str">
        <f>IF($B144="","",$D144*IFERROR(VLOOKUP($E144,'⚙️ Settings'!$B$15:$C$20,2,FALSE),1)*IF($F144="Monthly",1,IF($F144="Annual",1/12,IF($F144="Quarterly",1/3,IF($F144="Weekly",52/12,0)))))</f>
        <v/>
      </c>
      <c r="H144" s="5"/>
      <c r="I144" s="5"/>
      <c r="J144" s="84"/>
      <c r="K144" s="84"/>
      <c r="L144" s="5"/>
      <c r="M144" s="6"/>
      <c r="N144" s="84"/>
      <c r="O144" s="84"/>
    </row>
    <row r="145" spans="2:15">
      <c r="B145" s="84"/>
      <c r="C145" s="84"/>
      <c r="D145" s="8"/>
      <c r="E145" s="84"/>
      <c r="F145" s="84"/>
      <c r="G145" s="8" t="str">
        <f>IF($B145="","",$D145*IFERROR(VLOOKUP($E145,'⚙️ Settings'!$B$15:$C$20,2,FALSE),1)*IF($F145="Monthly",1,IF($F145="Annual",1/12,IF($F145="Quarterly",1/3,IF($F145="Weekly",52/12,0)))))</f>
        <v/>
      </c>
      <c r="H145" s="5"/>
      <c r="I145" s="5"/>
      <c r="J145" s="84"/>
      <c r="K145" s="84"/>
      <c r="L145" s="5"/>
      <c r="M145" s="6"/>
      <c r="N145" s="84"/>
      <c r="O145" s="84"/>
    </row>
    <row r="146" spans="2:15">
      <c r="B146" s="84"/>
      <c r="C146" s="84"/>
      <c r="D146" s="8"/>
      <c r="E146" s="84"/>
      <c r="F146" s="84"/>
      <c r="G146" s="8" t="str">
        <f>IF($B146="","",$D146*IFERROR(VLOOKUP($E146,'⚙️ Settings'!$B$15:$C$20,2,FALSE),1)*IF($F146="Monthly",1,IF($F146="Annual",1/12,IF($F146="Quarterly",1/3,IF($F146="Weekly",52/12,0)))))</f>
        <v/>
      </c>
      <c r="H146" s="5"/>
      <c r="I146" s="5"/>
      <c r="J146" s="84"/>
      <c r="K146" s="84"/>
      <c r="L146" s="5"/>
      <c r="M146" s="6"/>
      <c r="N146" s="84"/>
      <c r="O146" s="84"/>
    </row>
    <row r="147" spans="2:15">
      <c r="B147" s="84"/>
      <c r="C147" s="84"/>
      <c r="D147" s="8"/>
      <c r="E147" s="84"/>
      <c r="F147" s="84"/>
      <c r="G147" s="8" t="str">
        <f>IF($B147="","",$D147*IFERROR(VLOOKUP($E147,'⚙️ Settings'!$B$15:$C$20,2,FALSE),1)*IF($F147="Monthly",1,IF($F147="Annual",1/12,IF($F147="Quarterly",1/3,IF($F147="Weekly",52/12,0)))))</f>
        <v/>
      </c>
      <c r="H147" s="5"/>
      <c r="I147" s="5"/>
      <c r="J147" s="84"/>
      <c r="K147" s="84"/>
      <c r="L147" s="5"/>
      <c r="M147" s="6"/>
      <c r="N147" s="84"/>
      <c r="O147" s="84"/>
    </row>
    <row r="148" spans="2:15">
      <c r="B148" s="84"/>
      <c r="C148" s="84"/>
      <c r="D148" s="8"/>
      <c r="E148" s="84"/>
      <c r="F148" s="84"/>
      <c r="G148" s="8" t="str">
        <f>IF($B148="","",$D148*IFERROR(VLOOKUP($E148,'⚙️ Settings'!$B$15:$C$20,2,FALSE),1)*IF($F148="Monthly",1,IF($F148="Annual",1/12,IF($F148="Quarterly",1/3,IF($F148="Weekly",52/12,0)))))</f>
        <v/>
      </c>
      <c r="H148" s="5"/>
      <c r="I148" s="5"/>
      <c r="J148" s="84"/>
      <c r="K148" s="84"/>
      <c r="L148" s="5"/>
      <c r="M148" s="6"/>
      <c r="N148" s="84"/>
      <c r="O148" s="84"/>
    </row>
    <row r="149" spans="2:15">
      <c r="B149" s="84"/>
      <c r="C149" s="84"/>
      <c r="D149" s="8"/>
      <c r="E149" s="84"/>
      <c r="F149" s="84"/>
      <c r="G149" s="8" t="str">
        <f>IF($B149="","",$D149*IFERROR(VLOOKUP($E149,'⚙️ Settings'!$B$15:$C$20,2,FALSE),1)*IF($F149="Monthly",1,IF($F149="Annual",1/12,IF($F149="Quarterly",1/3,IF($F149="Weekly",52/12,0)))))</f>
        <v/>
      </c>
      <c r="H149" s="5"/>
      <c r="I149" s="5"/>
      <c r="J149" s="84"/>
      <c r="K149" s="84"/>
      <c r="L149" s="5"/>
      <c r="M149" s="6"/>
      <c r="N149" s="84"/>
      <c r="O149" s="84"/>
    </row>
    <row r="150" spans="2:15">
      <c r="B150" s="84"/>
      <c r="C150" s="84"/>
      <c r="D150" s="8"/>
      <c r="E150" s="84"/>
      <c r="F150" s="84"/>
      <c r="G150" s="8" t="str">
        <f>IF($B150="","",$D150*IFERROR(VLOOKUP($E150,'⚙️ Settings'!$B$15:$C$20,2,FALSE),1)*IF($F150="Monthly",1,IF($F150="Annual",1/12,IF($F150="Quarterly",1/3,IF($F150="Weekly",52/12,0)))))</f>
        <v/>
      </c>
      <c r="H150" s="5"/>
      <c r="I150" s="5"/>
      <c r="J150" s="84"/>
      <c r="K150" s="84"/>
      <c r="L150" s="5"/>
      <c r="M150" s="6"/>
      <c r="N150" s="84"/>
      <c r="O150" s="84"/>
    </row>
    <row r="151" spans="2:15">
      <c r="B151" s="84"/>
      <c r="C151" s="84"/>
      <c r="D151" s="8"/>
      <c r="E151" s="84"/>
      <c r="F151" s="84"/>
      <c r="G151" s="8" t="str">
        <f>IF($B151="","",$D151*IFERROR(VLOOKUP($E151,'⚙️ Settings'!$B$15:$C$20,2,FALSE),1)*IF($F151="Monthly",1,IF($F151="Annual",1/12,IF($F151="Quarterly",1/3,IF($F151="Weekly",52/12,0)))))</f>
        <v/>
      </c>
      <c r="H151" s="5"/>
      <c r="I151" s="5"/>
      <c r="J151" s="84"/>
      <c r="K151" s="84"/>
      <c r="L151" s="5"/>
      <c r="M151" s="6"/>
      <c r="N151" s="84"/>
      <c r="O151" s="84"/>
    </row>
    <row r="152" spans="2:15">
      <c r="B152" s="84"/>
      <c r="C152" s="84"/>
      <c r="D152" s="8"/>
      <c r="E152" s="84"/>
      <c r="F152" s="84"/>
      <c r="G152" s="8" t="str">
        <f>IF($B152="","",$D152*IFERROR(VLOOKUP($E152,'⚙️ Settings'!$B$15:$C$20,2,FALSE),1)*IF($F152="Monthly",1,IF($F152="Annual",1/12,IF($F152="Quarterly",1/3,IF($F152="Weekly",52/12,0)))))</f>
        <v/>
      </c>
      <c r="H152" s="5"/>
      <c r="I152" s="5"/>
      <c r="J152" s="84"/>
      <c r="K152" s="84"/>
      <c r="L152" s="5"/>
      <c r="M152" s="6"/>
      <c r="N152" s="84"/>
      <c r="O152" s="84"/>
    </row>
    <row r="153" spans="2:15">
      <c r="B153" s="84"/>
      <c r="C153" s="84"/>
      <c r="D153" s="8"/>
      <c r="E153" s="84"/>
      <c r="F153" s="84"/>
      <c r="G153" s="8" t="str">
        <f>IF($B153="","",$D153*IFERROR(VLOOKUP($E153,'⚙️ Settings'!$B$15:$C$20,2,FALSE),1)*IF($F153="Monthly",1,IF($F153="Annual",1/12,IF($F153="Quarterly",1/3,IF($F153="Weekly",52/12,0)))))</f>
        <v/>
      </c>
      <c r="H153" s="5"/>
      <c r="I153" s="5"/>
      <c r="J153" s="84"/>
      <c r="K153" s="84"/>
      <c r="L153" s="5"/>
      <c r="M153" s="6"/>
      <c r="N153" s="84"/>
      <c r="O153" s="84"/>
    </row>
    <row r="154" spans="2:15">
      <c r="B154" s="84"/>
      <c r="C154" s="84"/>
      <c r="D154" s="8"/>
      <c r="E154" s="84"/>
      <c r="F154" s="84"/>
      <c r="G154" s="8" t="str">
        <f>IF($B154="","",$D154*IFERROR(VLOOKUP($E154,'⚙️ Settings'!$B$15:$C$20,2,FALSE),1)*IF($F154="Monthly",1,IF($F154="Annual",1/12,IF($F154="Quarterly",1/3,IF($F154="Weekly",52/12,0)))))</f>
        <v/>
      </c>
      <c r="H154" s="5"/>
      <c r="I154" s="5"/>
      <c r="J154" s="84"/>
      <c r="K154" s="84"/>
      <c r="L154" s="5"/>
      <c r="M154" s="6"/>
      <c r="N154" s="84"/>
      <c r="O154" s="84"/>
    </row>
    <row r="155" spans="2:15">
      <c r="B155" s="84"/>
      <c r="C155" s="84"/>
      <c r="D155" s="8"/>
      <c r="E155" s="84"/>
      <c r="F155" s="84"/>
      <c r="G155" s="8" t="str">
        <f>IF($B155="","",$D155*IFERROR(VLOOKUP($E155,'⚙️ Settings'!$B$15:$C$20,2,FALSE),1)*IF($F155="Monthly",1,IF($F155="Annual",1/12,IF($F155="Quarterly",1/3,IF($F155="Weekly",52/12,0)))))</f>
        <v/>
      </c>
      <c r="H155" s="5"/>
      <c r="I155" s="5"/>
      <c r="J155" s="84"/>
      <c r="K155" s="84"/>
      <c r="L155" s="5"/>
      <c r="M155" s="6"/>
      <c r="N155" s="84"/>
      <c r="O155" s="84"/>
    </row>
    <row r="156" spans="2:15">
      <c r="B156" s="84"/>
      <c r="C156" s="84"/>
      <c r="D156" s="8"/>
      <c r="E156" s="84"/>
      <c r="F156" s="84"/>
      <c r="G156" s="8" t="str">
        <f>IF($B156="","",$D156*IFERROR(VLOOKUP($E156,'⚙️ Settings'!$B$15:$C$20,2,FALSE),1)*IF($F156="Monthly",1,IF($F156="Annual",1/12,IF($F156="Quarterly",1/3,IF($F156="Weekly",52/12,0)))))</f>
        <v/>
      </c>
      <c r="H156" s="5"/>
      <c r="I156" s="5"/>
      <c r="J156" s="84"/>
      <c r="K156" s="84"/>
      <c r="L156" s="5"/>
      <c r="M156" s="6"/>
      <c r="N156" s="84"/>
      <c r="O156" s="84"/>
    </row>
    <row r="157" spans="2:15">
      <c r="B157" s="84"/>
      <c r="C157" s="84"/>
      <c r="D157" s="8"/>
      <c r="E157" s="84"/>
      <c r="F157" s="84"/>
      <c r="G157" s="8" t="str">
        <f>IF($B157="","",$D157*IFERROR(VLOOKUP($E157,'⚙️ Settings'!$B$15:$C$20,2,FALSE),1)*IF($F157="Monthly",1,IF($F157="Annual",1/12,IF($F157="Quarterly",1/3,IF($F157="Weekly",52/12,0)))))</f>
        <v/>
      </c>
      <c r="H157" s="5"/>
      <c r="I157" s="5"/>
      <c r="J157" s="84"/>
      <c r="K157" s="84"/>
      <c r="L157" s="5"/>
      <c r="M157" s="6"/>
      <c r="N157" s="84"/>
      <c r="O157" s="84"/>
    </row>
    <row r="158" spans="2:15">
      <c r="B158" s="84"/>
      <c r="C158" s="84"/>
      <c r="D158" s="8"/>
      <c r="E158" s="84"/>
      <c r="F158" s="84"/>
      <c r="G158" s="8" t="str">
        <f>IF($B158="","",$D158*IFERROR(VLOOKUP($E158,'⚙️ Settings'!$B$15:$C$20,2,FALSE),1)*IF($F158="Monthly",1,IF($F158="Annual",1/12,IF($F158="Quarterly",1/3,IF($F158="Weekly",52/12,0)))))</f>
        <v/>
      </c>
      <c r="H158" s="5"/>
      <c r="I158" s="5"/>
      <c r="J158" s="84"/>
      <c r="K158" s="84"/>
      <c r="L158" s="5"/>
      <c r="M158" s="6"/>
      <c r="N158" s="84"/>
      <c r="O158" s="84"/>
    </row>
    <row r="159" spans="2:15">
      <c r="B159" s="84"/>
      <c r="C159" s="84"/>
      <c r="D159" s="8"/>
      <c r="E159" s="84"/>
      <c r="F159" s="84"/>
      <c r="G159" s="8" t="str">
        <f>IF($B159="","",$D159*IFERROR(VLOOKUP($E159,'⚙️ Settings'!$B$15:$C$20,2,FALSE),1)*IF($F159="Monthly",1,IF($F159="Annual",1/12,IF($F159="Quarterly",1/3,IF($F159="Weekly",52/12,0)))))</f>
        <v/>
      </c>
      <c r="H159" s="5"/>
      <c r="I159" s="5"/>
      <c r="J159" s="84"/>
      <c r="K159" s="84"/>
      <c r="L159" s="5"/>
      <c r="M159" s="6"/>
      <c r="N159" s="84"/>
      <c r="O159" s="84"/>
    </row>
    <row r="160" spans="2:15">
      <c r="B160" s="84"/>
      <c r="C160" s="84"/>
      <c r="D160" s="8"/>
      <c r="E160" s="84"/>
      <c r="F160" s="84"/>
      <c r="G160" s="8" t="str">
        <f>IF($B160="","",$D160*IFERROR(VLOOKUP($E160,'⚙️ Settings'!$B$15:$C$20,2,FALSE),1)*IF($F160="Monthly",1,IF($F160="Annual",1/12,IF($F160="Quarterly",1/3,IF($F160="Weekly",52/12,0)))))</f>
        <v/>
      </c>
      <c r="H160" s="5"/>
      <c r="I160" s="5"/>
      <c r="J160" s="84"/>
      <c r="K160" s="84"/>
      <c r="L160" s="5"/>
      <c r="M160" s="6"/>
      <c r="N160" s="84"/>
      <c r="O160" s="84"/>
    </row>
    <row r="161" spans="2:15">
      <c r="B161" s="84"/>
      <c r="C161" s="84"/>
      <c r="D161" s="8"/>
      <c r="E161" s="84"/>
      <c r="F161" s="84"/>
      <c r="G161" s="8" t="str">
        <f>IF($B161="","",$D161*IFERROR(VLOOKUP($E161,'⚙️ Settings'!$B$15:$C$20,2,FALSE),1)*IF($F161="Monthly",1,IF($F161="Annual",1/12,IF($F161="Quarterly",1/3,IF($F161="Weekly",52/12,0)))))</f>
        <v/>
      </c>
      <c r="H161" s="5"/>
      <c r="I161" s="5"/>
      <c r="J161" s="84"/>
      <c r="K161" s="84"/>
      <c r="L161" s="5"/>
      <c r="M161" s="6"/>
      <c r="N161" s="84"/>
      <c r="O161" s="84"/>
    </row>
    <row r="162" spans="2:15">
      <c r="B162" s="84"/>
      <c r="C162" s="84"/>
      <c r="D162" s="8"/>
      <c r="E162" s="84"/>
      <c r="F162" s="84"/>
      <c r="G162" s="8" t="str">
        <f>IF($B162="","",$D162*IFERROR(VLOOKUP($E162,'⚙️ Settings'!$B$15:$C$20,2,FALSE),1)*IF($F162="Monthly",1,IF($F162="Annual",1/12,IF($F162="Quarterly",1/3,IF($F162="Weekly",52/12,0)))))</f>
        <v/>
      </c>
      <c r="H162" s="5"/>
      <c r="I162" s="5"/>
      <c r="J162" s="84"/>
      <c r="K162" s="84"/>
      <c r="L162" s="5"/>
      <c r="M162" s="6"/>
      <c r="N162" s="84"/>
      <c r="O162" s="84"/>
    </row>
    <row r="163" spans="2:15">
      <c r="B163" s="84"/>
      <c r="C163" s="84"/>
      <c r="D163" s="8"/>
      <c r="E163" s="84"/>
      <c r="F163" s="84"/>
      <c r="G163" s="8" t="str">
        <f>IF($B163="","",$D163*IFERROR(VLOOKUP($E163,'⚙️ Settings'!$B$15:$C$20,2,FALSE),1)*IF($F163="Monthly",1,IF($F163="Annual",1/12,IF($F163="Quarterly",1/3,IF($F163="Weekly",52/12,0)))))</f>
        <v/>
      </c>
      <c r="H163" s="5"/>
      <c r="I163" s="5"/>
      <c r="J163" s="84"/>
      <c r="K163" s="84"/>
      <c r="L163" s="5"/>
      <c r="M163" s="6"/>
      <c r="N163" s="84"/>
      <c r="O163" s="84"/>
    </row>
    <row r="164" spans="2:15">
      <c r="B164" s="84"/>
      <c r="C164" s="84"/>
      <c r="D164" s="8"/>
      <c r="E164" s="84"/>
      <c r="F164" s="84"/>
      <c r="G164" s="8" t="str">
        <f>IF($B164="","",$D164*IFERROR(VLOOKUP($E164,'⚙️ Settings'!$B$15:$C$20,2,FALSE),1)*IF($F164="Monthly",1,IF($F164="Annual",1/12,IF($F164="Quarterly",1/3,IF($F164="Weekly",52/12,0)))))</f>
        <v/>
      </c>
      <c r="H164" s="5"/>
      <c r="I164" s="5"/>
      <c r="J164" s="84"/>
      <c r="K164" s="84"/>
      <c r="L164" s="5"/>
      <c r="M164" s="6"/>
      <c r="N164" s="84"/>
      <c r="O164" s="84"/>
    </row>
    <row r="165" spans="2:15">
      <c r="B165" s="84"/>
      <c r="C165" s="84"/>
      <c r="D165" s="8"/>
      <c r="E165" s="84"/>
      <c r="F165" s="84"/>
      <c r="G165" s="8" t="str">
        <f>IF($B165="","",$D165*IFERROR(VLOOKUP($E165,'⚙️ Settings'!$B$15:$C$20,2,FALSE),1)*IF($F165="Monthly",1,IF($F165="Annual",1/12,IF($F165="Quarterly",1/3,IF($F165="Weekly",52/12,0)))))</f>
        <v/>
      </c>
      <c r="H165" s="5"/>
      <c r="I165" s="5"/>
      <c r="J165" s="84"/>
      <c r="K165" s="84"/>
      <c r="L165" s="5"/>
      <c r="M165" s="6"/>
      <c r="N165" s="84"/>
      <c r="O165" s="84"/>
    </row>
    <row r="166" spans="2:15">
      <c r="B166" s="84"/>
      <c r="C166" s="84"/>
      <c r="D166" s="8"/>
      <c r="E166" s="84"/>
      <c r="F166" s="84"/>
      <c r="G166" s="8" t="str">
        <f>IF($B166="","",$D166*IFERROR(VLOOKUP($E166,'⚙️ Settings'!$B$15:$C$20,2,FALSE),1)*IF($F166="Monthly",1,IF($F166="Annual",1/12,IF($F166="Quarterly",1/3,IF($F166="Weekly",52/12,0)))))</f>
        <v/>
      </c>
      <c r="H166" s="5"/>
      <c r="I166" s="5"/>
      <c r="J166" s="84"/>
      <c r="K166" s="84"/>
      <c r="L166" s="5"/>
      <c r="M166" s="6"/>
      <c r="N166" s="84"/>
      <c r="O166" s="84"/>
    </row>
    <row r="167" spans="2:15">
      <c r="B167" s="84"/>
      <c r="C167" s="84"/>
      <c r="D167" s="8"/>
      <c r="E167" s="84"/>
      <c r="F167" s="84"/>
      <c r="G167" s="8" t="str">
        <f>IF($B167="","",$D167*IFERROR(VLOOKUP($E167,'⚙️ Settings'!$B$15:$C$20,2,FALSE),1)*IF($F167="Monthly",1,IF($F167="Annual",1/12,IF($F167="Quarterly",1/3,IF($F167="Weekly",52/12,0)))))</f>
        <v/>
      </c>
      <c r="H167" s="5"/>
      <c r="I167" s="5"/>
      <c r="J167" s="84"/>
      <c r="K167" s="84"/>
      <c r="L167" s="5"/>
      <c r="M167" s="6"/>
      <c r="N167" s="84"/>
      <c r="O167" s="84"/>
    </row>
    <row r="168" spans="2:15">
      <c r="B168" s="84"/>
      <c r="C168" s="84"/>
      <c r="D168" s="8"/>
      <c r="E168" s="84"/>
      <c r="F168" s="84"/>
      <c r="G168" s="8" t="str">
        <f>IF($B168="","",$D168*IFERROR(VLOOKUP($E168,'⚙️ Settings'!$B$15:$C$20,2,FALSE),1)*IF($F168="Monthly",1,IF($F168="Annual",1/12,IF($F168="Quarterly",1/3,IF($F168="Weekly",52/12,0)))))</f>
        <v/>
      </c>
      <c r="H168" s="5"/>
      <c r="I168" s="5"/>
      <c r="J168" s="84"/>
      <c r="K168" s="84"/>
      <c r="L168" s="5"/>
      <c r="M168" s="6"/>
      <c r="N168" s="84"/>
      <c r="O168" s="84"/>
    </row>
    <row r="169" spans="2:15">
      <c r="B169" s="84"/>
      <c r="C169" s="84"/>
      <c r="D169" s="8"/>
      <c r="E169" s="84"/>
      <c r="F169" s="84"/>
      <c r="G169" s="8" t="str">
        <f>IF($B169="","",$D169*IFERROR(VLOOKUP($E169,'⚙️ Settings'!$B$15:$C$20,2,FALSE),1)*IF($F169="Monthly",1,IF($F169="Annual",1/12,IF($F169="Quarterly",1/3,IF($F169="Weekly",52/12,0)))))</f>
        <v/>
      </c>
      <c r="H169" s="5"/>
      <c r="I169" s="5"/>
      <c r="J169" s="84"/>
      <c r="K169" s="84"/>
      <c r="L169" s="5"/>
      <c r="M169" s="6"/>
      <c r="N169" s="84"/>
      <c r="O169" s="84"/>
    </row>
    <row r="170" spans="2:15">
      <c r="B170" s="84"/>
      <c r="C170" s="84"/>
      <c r="D170" s="8"/>
      <c r="E170" s="84"/>
      <c r="F170" s="84"/>
      <c r="G170" s="8" t="str">
        <f>IF($B170="","",$D170*IFERROR(VLOOKUP($E170,'⚙️ Settings'!$B$15:$C$20,2,FALSE),1)*IF($F170="Monthly",1,IF($F170="Annual",1/12,IF($F170="Quarterly",1/3,IF($F170="Weekly",52/12,0)))))</f>
        <v/>
      </c>
      <c r="H170" s="5"/>
      <c r="I170" s="5"/>
      <c r="J170" s="84"/>
      <c r="K170" s="84"/>
      <c r="L170" s="5"/>
      <c r="M170" s="6"/>
      <c r="N170" s="84"/>
      <c r="O170" s="84"/>
    </row>
    <row r="171" spans="2:15">
      <c r="B171" s="84"/>
      <c r="C171" s="84"/>
      <c r="D171" s="8"/>
      <c r="E171" s="84"/>
      <c r="F171" s="84"/>
      <c r="G171" s="8" t="str">
        <f>IF($B171="","",$D171*IFERROR(VLOOKUP($E171,'⚙️ Settings'!$B$15:$C$20,2,FALSE),1)*IF($F171="Monthly",1,IF($F171="Annual",1/12,IF($F171="Quarterly",1/3,IF($F171="Weekly",52/12,0)))))</f>
        <v/>
      </c>
      <c r="H171" s="5"/>
      <c r="I171" s="5"/>
      <c r="J171" s="84"/>
      <c r="K171" s="84"/>
      <c r="L171" s="5"/>
      <c r="M171" s="6"/>
      <c r="N171" s="84"/>
      <c r="O171" s="84"/>
    </row>
    <row r="172" spans="2:15">
      <c r="B172" s="84"/>
      <c r="C172" s="84"/>
      <c r="D172" s="8"/>
      <c r="E172" s="84"/>
      <c r="F172" s="84"/>
      <c r="G172" s="8" t="str">
        <f>IF($B172="","",$D172*IFERROR(VLOOKUP($E172,'⚙️ Settings'!$B$15:$C$20,2,FALSE),1)*IF($F172="Monthly",1,IF($F172="Annual",1/12,IF($F172="Quarterly",1/3,IF($F172="Weekly",52/12,0)))))</f>
        <v/>
      </c>
      <c r="H172" s="5"/>
      <c r="I172" s="5"/>
      <c r="J172" s="84"/>
      <c r="K172" s="84"/>
      <c r="L172" s="5"/>
      <c r="M172" s="6"/>
      <c r="N172" s="84"/>
      <c r="O172" s="84"/>
    </row>
    <row r="173" spans="2:15">
      <c r="B173" s="84"/>
      <c r="C173" s="84"/>
      <c r="D173" s="8"/>
      <c r="E173" s="84"/>
      <c r="F173" s="84"/>
      <c r="G173" s="8" t="str">
        <f>IF($B173="","",$D173*IFERROR(VLOOKUP($E173,'⚙️ Settings'!$B$15:$C$20,2,FALSE),1)*IF($F173="Monthly",1,IF($F173="Annual",1/12,IF($F173="Quarterly",1/3,IF($F173="Weekly",52/12,0)))))</f>
        <v/>
      </c>
      <c r="H173" s="5"/>
      <c r="I173" s="5"/>
      <c r="J173" s="84"/>
      <c r="K173" s="84"/>
      <c r="L173" s="5"/>
      <c r="M173" s="6"/>
      <c r="N173" s="84"/>
      <c r="O173" s="84"/>
    </row>
    <row r="174" spans="2:15">
      <c r="B174" s="84"/>
      <c r="C174" s="84"/>
      <c r="D174" s="8"/>
      <c r="E174" s="84"/>
      <c r="F174" s="84"/>
      <c r="G174" s="8" t="str">
        <f>IF($B174="","",$D174*IFERROR(VLOOKUP($E174,'⚙️ Settings'!$B$15:$C$20,2,FALSE),1)*IF($F174="Monthly",1,IF($F174="Annual",1/12,IF($F174="Quarterly",1/3,IF($F174="Weekly",52/12,0)))))</f>
        <v/>
      </c>
      <c r="H174" s="5"/>
      <c r="I174" s="5"/>
      <c r="J174" s="84"/>
      <c r="K174" s="84"/>
      <c r="L174" s="5"/>
      <c r="M174" s="6"/>
      <c r="N174" s="84"/>
      <c r="O174" s="84"/>
    </row>
    <row r="175" spans="2:15">
      <c r="B175" s="84"/>
      <c r="C175" s="84"/>
      <c r="D175" s="8"/>
      <c r="E175" s="84"/>
      <c r="F175" s="84"/>
      <c r="G175" s="8" t="str">
        <f>IF($B175="","",$D175*IFERROR(VLOOKUP($E175,'⚙️ Settings'!$B$15:$C$20,2,FALSE),1)*IF($F175="Monthly",1,IF($F175="Annual",1/12,IF($F175="Quarterly",1/3,IF($F175="Weekly",52/12,0)))))</f>
        <v/>
      </c>
      <c r="H175" s="5"/>
      <c r="I175" s="5"/>
      <c r="J175" s="84"/>
      <c r="K175" s="84"/>
      <c r="L175" s="5"/>
      <c r="M175" s="6"/>
      <c r="N175" s="84"/>
      <c r="O175" s="84"/>
    </row>
    <row r="176" spans="2:15">
      <c r="B176" s="84"/>
      <c r="C176" s="84"/>
      <c r="D176" s="8"/>
      <c r="E176" s="84"/>
      <c r="F176" s="84"/>
      <c r="G176" s="8" t="str">
        <f>IF($B176="","",$D176*IFERROR(VLOOKUP($E176,'⚙️ Settings'!$B$15:$C$20,2,FALSE),1)*IF($F176="Monthly",1,IF($F176="Annual",1/12,IF($F176="Quarterly",1/3,IF($F176="Weekly",52/12,0)))))</f>
        <v/>
      </c>
      <c r="H176" s="5"/>
      <c r="I176" s="5"/>
      <c r="J176" s="84"/>
      <c r="K176" s="84"/>
      <c r="L176" s="5"/>
      <c r="M176" s="6"/>
      <c r="N176" s="84"/>
      <c r="O176" s="84"/>
    </row>
    <row r="177" spans="2:15">
      <c r="B177" s="84"/>
      <c r="C177" s="84"/>
      <c r="D177" s="8"/>
      <c r="E177" s="84"/>
      <c r="F177" s="84"/>
      <c r="G177" s="8" t="str">
        <f>IF($B177="","",$D177*IFERROR(VLOOKUP($E177,'⚙️ Settings'!$B$15:$C$20,2,FALSE),1)*IF($F177="Monthly",1,IF($F177="Annual",1/12,IF($F177="Quarterly",1/3,IF($F177="Weekly",52/12,0)))))</f>
        <v/>
      </c>
      <c r="H177" s="5"/>
      <c r="I177" s="5"/>
      <c r="J177" s="84"/>
      <c r="K177" s="84"/>
      <c r="L177" s="5"/>
      <c r="M177" s="6"/>
      <c r="N177" s="84"/>
      <c r="O177" s="84"/>
    </row>
    <row r="178" spans="2:15">
      <c r="B178" s="84"/>
      <c r="C178" s="84"/>
      <c r="D178" s="8"/>
      <c r="E178" s="84"/>
      <c r="F178" s="84"/>
      <c r="G178" s="8" t="str">
        <f>IF($B178="","",$D178*IFERROR(VLOOKUP($E178,'⚙️ Settings'!$B$15:$C$20,2,FALSE),1)*IF($F178="Monthly",1,IF($F178="Annual",1/12,IF($F178="Quarterly",1/3,IF($F178="Weekly",52/12,0)))))</f>
        <v/>
      </c>
      <c r="H178" s="5"/>
      <c r="I178" s="5"/>
      <c r="J178" s="84"/>
      <c r="K178" s="84"/>
      <c r="L178" s="5"/>
      <c r="M178" s="6"/>
      <c r="N178" s="84"/>
      <c r="O178" s="84"/>
    </row>
    <row r="179" spans="2:15">
      <c r="B179" s="84"/>
      <c r="C179" s="84"/>
      <c r="D179" s="8"/>
      <c r="E179" s="84"/>
      <c r="F179" s="84"/>
      <c r="G179" s="8" t="str">
        <f>IF($B179="","",$D179*IFERROR(VLOOKUP($E179,'⚙️ Settings'!$B$15:$C$20,2,FALSE),1)*IF($F179="Monthly",1,IF($F179="Annual",1/12,IF($F179="Quarterly",1/3,IF($F179="Weekly",52/12,0)))))</f>
        <v/>
      </c>
      <c r="H179" s="5"/>
      <c r="I179" s="5"/>
      <c r="J179" s="84"/>
      <c r="K179" s="84"/>
      <c r="L179" s="5"/>
      <c r="M179" s="6"/>
      <c r="N179" s="84"/>
      <c r="O179" s="84"/>
    </row>
    <row r="180" spans="2:15">
      <c r="B180" s="84"/>
      <c r="C180" s="84"/>
      <c r="D180" s="8"/>
      <c r="E180" s="84"/>
      <c r="F180" s="84"/>
      <c r="G180" s="8" t="str">
        <f>IF($B180="","",$D180*IFERROR(VLOOKUP($E180,'⚙️ Settings'!$B$15:$C$20,2,FALSE),1)*IF($F180="Monthly",1,IF($F180="Annual",1/12,IF($F180="Quarterly",1/3,IF($F180="Weekly",52/12,0)))))</f>
        <v/>
      </c>
      <c r="H180" s="5"/>
      <c r="I180" s="5"/>
      <c r="J180" s="84"/>
      <c r="K180" s="84"/>
      <c r="L180" s="5"/>
      <c r="M180" s="6"/>
      <c r="N180" s="84"/>
      <c r="O180" s="84"/>
    </row>
    <row r="181" spans="2:15">
      <c r="B181" s="84"/>
      <c r="C181" s="84"/>
      <c r="D181" s="8"/>
      <c r="E181" s="84"/>
      <c r="F181" s="84"/>
      <c r="G181" s="8" t="str">
        <f>IF($B181="","",$D181*IFERROR(VLOOKUP($E181,'⚙️ Settings'!$B$15:$C$20,2,FALSE),1)*IF($F181="Monthly",1,IF($F181="Annual",1/12,IF($F181="Quarterly",1/3,IF($F181="Weekly",52/12,0)))))</f>
        <v/>
      </c>
      <c r="H181" s="5"/>
      <c r="I181" s="5"/>
      <c r="J181" s="84"/>
      <c r="K181" s="84"/>
      <c r="L181" s="5"/>
      <c r="M181" s="6"/>
      <c r="N181" s="84"/>
      <c r="O181" s="84"/>
    </row>
    <row r="182" spans="2:15">
      <c r="B182" s="84"/>
      <c r="C182" s="84"/>
      <c r="D182" s="8"/>
      <c r="E182" s="84"/>
      <c r="F182" s="84"/>
      <c r="G182" s="8" t="str">
        <f>IF($B182="","",$D182*IFERROR(VLOOKUP($E182,'⚙️ Settings'!$B$15:$C$20,2,FALSE),1)*IF($F182="Monthly",1,IF($F182="Annual",1/12,IF($F182="Quarterly",1/3,IF($F182="Weekly",52/12,0)))))</f>
        <v/>
      </c>
      <c r="H182" s="5"/>
      <c r="I182" s="5"/>
      <c r="J182" s="84"/>
      <c r="K182" s="84"/>
      <c r="L182" s="5"/>
      <c r="M182" s="6"/>
      <c r="N182" s="84"/>
      <c r="O182" s="84"/>
    </row>
    <row r="183" spans="2:15">
      <c r="B183" s="84"/>
      <c r="C183" s="84"/>
      <c r="D183" s="8"/>
      <c r="E183" s="84"/>
      <c r="F183" s="84"/>
      <c r="G183" s="8" t="str">
        <f>IF($B183="","",$D183*IFERROR(VLOOKUP($E183,'⚙️ Settings'!$B$15:$C$20,2,FALSE),1)*IF($F183="Monthly",1,IF($F183="Annual",1/12,IF($F183="Quarterly",1/3,IF($F183="Weekly",52/12,0)))))</f>
        <v/>
      </c>
      <c r="H183" s="5"/>
      <c r="I183" s="5"/>
      <c r="J183" s="84"/>
      <c r="K183" s="84"/>
      <c r="L183" s="5"/>
      <c r="M183" s="6"/>
      <c r="N183" s="84"/>
      <c r="O183" s="84"/>
    </row>
    <row r="184" spans="2:15">
      <c r="B184" s="84"/>
      <c r="C184" s="84"/>
      <c r="D184" s="8"/>
      <c r="E184" s="84"/>
      <c r="F184" s="84"/>
      <c r="G184" s="8" t="str">
        <f>IF($B184="","",$D184*IFERROR(VLOOKUP($E184,'⚙️ Settings'!$B$15:$C$20,2,FALSE),1)*IF($F184="Monthly",1,IF($F184="Annual",1/12,IF($F184="Quarterly",1/3,IF($F184="Weekly",52/12,0)))))</f>
        <v/>
      </c>
      <c r="H184" s="5"/>
      <c r="I184" s="5"/>
      <c r="J184" s="84"/>
      <c r="K184" s="84"/>
      <c r="L184" s="5"/>
      <c r="M184" s="6"/>
      <c r="N184" s="84"/>
      <c r="O184" s="84"/>
    </row>
    <row r="185" spans="2:15">
      <c r="B185" s="84"/>
      <c r="C185" s="84"/>
      <c r="D185" s="8"/>
      <c r="E185" s="84"/>
      <c r="F185" s="84"/>
      <c r="G185" s="8" t="str">
        <f>IF($B185="","",$D185*IFERROR(VLOOKUP($E185,'⚙️ Settings'!$B$15:$C$20,2,FALSE),1)*IF($F185="Monthly",1,IF($F185="Annual",1/12,IF($F185="Quarterly",1/3,IF($F185="Weekly",52/12,0)))))</f>
        <v/>
      </c>
      <c r="H185" s="5"/>
      <c r="I185" s="5"/>
      <c r="J185" s="84"/>
      <c r="K185" s="84"/>
      <c r="L185" s="5"/>
      <c r="M185" s="6"/>
      <c r="N185" s="84"/>
      <c r="O185" s="84"/>
    </row>
    <row r="186" spans="2:15">
      <c r="B186" s="84"/>
      <c r="C186" s="84"/>
      <c r="D186" s="8"/>
      <c r="E186" s="84"/>
      <c r="F186" s="84"/>
      <c r="G186" s="8" t="str">
        <f>IF($B186="","",$D186*IFERROR(VLOOKUP($E186,'⚙️ Settings'!$B$15:$C$20,2,FALSE),1)*IF($F186="Monthly",1,IF($F186="Annual",1/12,IF($F186="Quarterly",1/3,IF($F186="Weekly",52/12,0)))))</f>
        <v/>
      </c>
      <c r="H186" s="5"/>
      <c r="I186" s="5"/>
      <c r="J186" s="84"/>
      <c r="K186" s="84"/>
      <c r="L186" s="5"/>
      <c r="M186" s="6"/>
      <c r="N186" s="84"/>
      <c r="O186" s="84"/>
    </row>
    <row r="187" spans="2:15">
      <c r="B187" s="84"/>
      <c r="C187" s="84"/>
      <c r="D187" s="8"/>
      <c r="E187" s="84"/>
      <c r="F187" s="84"/>
      <c r="G187" s="8" t="str">
        <f>IF($B187="","",$D187*IFERROR(VLOOKUP($E187,'⚙️ Settings'!$B$15:$C$20,2,FALSE),1)*IF($F187="Monthly",1,IF($F187="Annual",1/12,IF($F187="Quarterly",1/3,IF($F187="Weekly",52/12,0)))))</f>
        <v/>
      </c>
      <c r="H187" s="5"/>
      <c r="I187" s="5"/>
      <c r="J187" s="84"/>
      <c r="K187" s="84"/>
      <c r="L187" s="5"/>
      <c r="M187" s="6"/>
      <c r="N187" s="84"/>
      <c r="O187" s="84"/>
    </row>
    <row r="188" spans="2:15">
      <c r="B188" s="84"/>
      <c r="C188" s="84"/>
      <c r="D188" s="8"/>
      <c r="E188" s="84"/>
      <c r="F188" s="84"/>
      <c r="G188" s="8" t="str">
        <f>IF($B188="","",$D188*IFERROR(VLOOKUP($E188,'⚙️ Settings'!$B$15:$C$20,2,FALSE),1)*IF($F188="Monthly",1,IF($F188="Annual",1/12,IF($F188="Quarterly",1/3,IF($F188="Weekly",52/12,0)))))</f>
        <v/>
      </c>
      <c r="H188" s="5"/>
      <c r="I188" s="5"/>
      <c r="J188" s="84"/>
      <c r="K188" s="84"/>
      <c r="L188" s="5"/>
      <c r="M188" s="6"/>
      <c r="N188" s="84"/>
      <c r="O188" s="84"/>
    </row>
    <row r="189" spans="2:15">
      <c r="B189" s="84"/>
      <c r="C189" s="84"/>
      <c r="D189" s="8"/>
      <c r="E189" s="84"/>
      <c r="F189" s="84"/>
      <c r="G189" s="8" t="str">
        <f>IF($B189="","",$D189*IFERROR(VLOOKUP($E189,'⚙️ Settings'!$B$15:$C$20,2,FALSE),1)*IF($F189="Monthly",1,IF($F189="Annual",1/12,IF($F189="Quarterly",1/3,IF($F189="Weekly",52/12,0)))))</f>
        <v/>
      </c>
      <c r="H189" s="5"/>
      <c r="I189" s="5"/>
      <c r="J189" s="84"/>
      <c r="K189" s="84"/>
      <c r="L189" s="5"/>
      <c r="M189" s="6"/>
      <c r="N189" s="84"/>
      <c r="O189" s="84"/>
    </row>
    <row r="190" spans="2:15">
      <c r="B190" s="84"/>
      <c r="C190" s="84"/>
      <c r="D190" s="8"/>
      <c r="E190" s="84"/>
      <c r="F190" s="84"/>
      <c r="G190" s="8" t="str">
        <f>IF($B190="","",$D190*IFERROR(VLOOKUP($E190,'⚙️ Settings'!$B$15:$C$20,2,FALSE),1)*IF($F190="Monthly",1,IF($F190="Annual",1/12,IF($F190="Quarterly",1/3,IF($F190="Weekly",52/12,0)))))</f>
        <v/>
      </c>
      <c r="H190" s="5"/>
      <c r="I190" s="5"/>
      <c r="J190" s="84"/>
      <c r="K190" s="84"/>
      <c r="L190" s="5"/>
      <c r="M190" s="6"/>
      <c r="N190" s="84"/>
      <c r="O190" s="84"/>
    </row>
    <row r="191" spans="2:15">
      <c r="B191" s="84"/>
      <c r="C191" s="84"/>
      <c r="D191" s="8"/>
      <c r="E191" s="84"/>
      <c r="F191" s="84"/>
      <c r="G191" s="8" t="str">
        <f>IF($B191="","",$D191*IFERROR(VLOOKUP($E191,'⚙️ Settings'!$B$15:$C$20,2,FALSE),1)*IF($F191="Monthly",1,IF($F191="Annual",1/12,IF($F191="Quarterly",1/3,IF($F191="Weekly",52/12,0)))))</f>
        <v/>
      </c>
      <c r="H191" s="5"/>
      <c r="I191" s="5"/>
      <c r="J191" s="84"/>
      <c r="K191" s="84"/>
      <c r="L191" s="5"/>
      <c r="M191" s="6"/>
      <c r="N191" s="84"/>
      <c r="O191" s="84"/>
    </row>
    <row r="192" spans="2:15">
      <c r="B192" s="84"/>
      <c r="C192" s="84"/>
      <c r="D192" s="8"/>
      <c r="E192" s="84"/>
      <c r="F192" s="84"/>
      <c r="G192" s="8" t="str">
        <f>IF($B192="","",$D192*IFERROR(VLOOKUP($E192,'⚙️ Settings'!$B$15:$C$20,2,FALSE),1)*IF($F192="Monthly",1,IF($F192="Annual",1/12,IF($F192="Quarterly",1/3,IF($F192="Weekly",52/12,0)))))</f>
        <v/>
      </c>
      <c r="H192" s="5"/>
      <c r="I192" s="5"/>
      <c r="J192" s="84"/>
      <c r="K192" s="84"/>
      <c r="L192" s="5"/>
      <c r="M192" s="6"/>
      <c r="N192" s="84"/>
      <c r="O192" s="84"/>
    </row>
    <row r="193" spans="2:15">
      <c r="B193" s="84"/>
      <c r="C193" s="84"/>
      <c r="D193" s="8"/>
      <c r="E193" s="84"/>
      <c r="F193" s="84"/>
      <c r="G193" s="8" t="str">
        <f>IF($B193="","",$D193*IFERROR(VLOOKUP($E193,'⚙️ Settings'!$B$15:$C$20,2,FALSE),1)*IF($F193="Monthly",1,IF($F193="Annual",1/12,IF($F193="Quarterly",1/3,IF($F193="Weekly",52/12,0)))))</f>
        <v/>
      </c>
      <c r="H193" s="5"/>
      <c r="I193" s="5"/>
      <c r="J193" s="84"/>
      <c r="K193" s="84"/>
      <c r="L193" s="5"/>
      <c r="M193" s="6"/>
      <c r="N193" s="84"/>
      <c r="O193" s="84"/>
    </row>
    <row r="194" spans="2:15">
      <c r="B194" s="84"/>
      <c r="C194" s="84"/>
      <c r="D194" s="8"/>
      <c r="E194" s="84"/>
      <c r="F194" s="84"/>
      <c r="G194" s="8" t="str">
        <f>IF($B194="","",$D194*IFERROR(VLOOKUP($E194,'⚙️ Settings'!$B$15:$C$20,2,FALSE),1)*IF($F194="Monthly",1,IF($F194="Annual",1/12,IF($F194="Quarterly",1/3,IF($F194="Weekly",52/12,0)))))</f>
        <v/>
      </c>
      <c r="H194" s="5"/>
      <c r="I194" s="5"/>
      <c r="J194" s="84"/>
      <c r="K194" s="84"/>
      <c r="L194" s="5"/>
      <c r="M194" s="6"/>
      <c r="N194" s="84"/>
      <c r="O194" s="84"/>
    </row>
    <row r="195" spans="2:15">
      <c r="B195" s="84"/>
      <c r="C195" s="84"/>
      <c r="D195" s="8"/>
      <c r="E195" s="84"/>
      <c r="F195" s="84"/>
      <c r="G195" s="8" t="str">
        <f>IF($B195="","",$D195*IFERROR(VLOOKUP($E195,'⚙️ Settings'!$B$15:$C$20,2,FALSE),1)*IF($F195="Monthly",1,IF($F195="Annual",1/12,IF($F195="Quarterly",1/3,IF($F195="Weekly",52/12,0)))))</f>
        <v/>
      </c>
      <c r="H195" s="5"/>
      <c r="I195" s="5"/>
      <c r="J195" s="84"/>
      <c r="K195" s="84"/>
      <c r="L195" s="5"/>
      <c r="M195" s="6"/>
      <c r="N195" s="84"/>
      <c r="O195" s="84"/>
    </row>
    <row r="196" spans="2:15">
      <c r="B196" s="84"/>
      <c r="C196" s="84"/>
      <c r="D196" s="8"/>
      <c r="E196" s="84"/>
      <c r="F196" s="84"/>
      <c r="G196" s="8" t="str">
        <f>IF($B196="","",$D196*IFERROR(VLOOKUP($E196,'⚙️ Settings'!$B$15:$C$20,2,FALSE),1)*IF($F196="Monthly",1,IF($F196="Annual",1/12,IF($F196="Quarterly",1/3,IF($F196="Weekly",52/12,0)))))</f>
        <v/>
      </c>
      <c r="H196" s="5"/>
      <c r="I196" s="5"/>
      <c r="J196" s="84"/>
      <c r="K196" s="84"/>
      <c r="L196" s="5"/>
      <c r="M196" s="6"/>
      <c r="N196" s="84"/>
      <c r="O196" s="84"/>
    </row>
    <row r="197" spans="2:15">
      <c r="B197" s="84"/>
      <c r="C197" s="84"/>
      <c r="D197" s="8"/>
      <c r="E197" s="84"/>
      <c r="F197" s="84"/>
      <c r="G197" s="8" t="str">
        <f>IF($B197="","",$D197*IFERROR(VLOOKUP($E197,'⚙️ Settings'!$B$15:$C$20,2,FALSE),1)*IF($F197="Monthly",1,IF($F197="Annual",1/12,IF($F197="Quarterly",1/3,IF($F197="Weekly",52/12,0)))))</f>
        <v/>
      </c>
      <c r="H197" s="5"/>
      <c r="I197" s="5"/>
      <c r="J197" s="84"/>
      <c r="K197" s="84"/>
      <c r="L197" s="5"/>
      <c r="M197" s="6"/>
      <c r="N197" s="84"/>
      <c r="O197" s="84"/>
    </row>
    <row r="198" spans="2:15">
      <c r="B198" s="84"/>
      <c r="C198" s="84"/>
      <c r="D198" s="8"/>
      <c r="E198" s="84"/>
      <c r="F198" s="84"/>
      <c r="G198" s="8" t="str">
        <f>IF($B198="","",$D198*IFERROR(VLOOKUP($E198,'⚙️ Settings'!$B$15:$C$20,2,FALSE),1)*IF($F198="Monthly",1,IF($F198="Annual",1/12,IF($F198="Quarterly",1/3,IF($F198="Weekly",52/12,0)))))</f>
        <v/>
      </c>
      <c r="H198" s="5"/>
      <c r="I198" s="5"/>
      <c r="J198" s="84"/>
      <c r="K198" s="84"/>
      <c r="L198" s="5"/>
      <c r="M198" s="6"/>
      <c r="N198" s="84"/>
      <c r="O198" s="84"/>
    </row>
    <row r="199" spans="2:15">
      <c r="B199" s="84"/>
      <c r="C199" s="84"/>
      <c r="D199" s="8"/>
      <c r="E199" s="84"/>
      <c r="F199" s="84"/>
      <c r="G199" s="8" t="str">
        <f>IF($B199="","",$D199*IFERROR(VLOOKUP($E199,'⚙️ Settings'!$B$15:$C$20,2,FALSE),1)*IF($F199="Monthly",1,IF($F199="Annual",1/12,IF($F199="Quarterly",1/3,IF($F199="Weekly",52/12,0)))))</f>
        <v/>
      </c>
      <c r="H199" s="5"/>
      <c r="I199" s="5"/>
      <c r="J199" s="84"/>
      <c r="K199" s="84"/>
      <c r="L199" s="5"/>
      <c r="M199" s="6"/>
      <c r="N199" s="84"/>
      <c r="O199" s="84"/>
    </row>
    <row r="200" spans="2:15">
      <c r="B200" s="84"/>
      <c r="C200" s="84"/>
      <c r="D200" s="8"/>
      <c r="E200" s="84"/>
      <c r="F200" s="84"/>
      <c r="G200" s="8" t="str">
        <f>IF($B200="","",$D200*IFERROR(VLOOKUP($E200,'⚙️ Settings'!$B$15:$C$20,2,FALSE),1)*IF($F200="Monthly",1,IF($F200="Annual",1/12,IF($F200="Quarterly",1/3,IF($F200="Weekly",52/12,0)))))</f>
        <v/>
      </c>
      <c r="H200" s="5"/>
      <c r="I200" s="5"/>
      <c r="J200" s="84"/>
      <c r="K200" s="84"/>
      <c r="L200" s="5"/>
      <c r="M200" s="6"/>
      <c r="N200" s="84"/>
      <c r="O200" s="84"/>
    </row>
    <row r="201" spans="2:15">
      <c r="B201" s="84"/>
      <c r="C201" s="84"/>
      <c r="D201" s="8"/>
      <c r="E201" s="84"/>
      <c r="F201" s="84"/>
      <c r="G201" s="8" t="str">
        <f>IF($B201="","",$D201*IFERROR(VLOOKUP($E201,'⚙️ Settings'!$B$15:$C$20,2,FALSE),1)*IF($F201="Monthly",1,IF($F201="Annual",1/12,IF($F201="Quarterly",1/3,IF($F201="Weekly",52/12,0)))))</f>
        <v/>
      </c>
      <c r="H201" s="5"/>
      <c r="I201" s="5"/>
      <c r="J201" s="84"/>
      <c r="K201" s="84"/>
      <c r="L201" s="5"/>
      <c r="M201" s="6"/>
      <c r="N201" s="84"/>
      <c r="O201" s="84"/>
    </row>
    <row r="202" spans="2:15">
      <c r="B202" s="84"/>
      <c r="C202" s="84"/>
      <c r="D202" s="8"/>
      <c r="E202" s="84"/>
      <c r="F202" s="84"/>
      <c r="G202" s="8" t="str">
        <f>IF($B202="","",$D202*IFERROR(VLOOKUP($E202,'⚙️ Settings'!$B$15:$C$20,2,FALSE),1)*IF($F202="Monthly",1,IF($F202="Annual",1/12,IF($F202="Quarterly",1/3,IF($F202="Weekly",52/12,0)))))</f>
        <v/>
      </c>
      <c r="H202" s="5"/>
      <c r="I202" s="5"/>
      <c r="J202" s="84"/>
      <c r="K202" s="84"/>
      <c r="L202" s="5"/>
      <c r="M202" s="6"/>
      <c r="N202" s="84"/>
      <c r="O202" s="84"/>
    </row>
    <row r="203" spans="2:15">
      <c r="B203" s="84"/>
      <c r="C203" s="84"/>
      <c r="D203" s="8"/>
      <c r="E203" s="84"/>
      <c r="F203" s="84"/>
      <c r="G203" s="8" t="str">
        <f>IF($B203="","",$D203*IFERROR(VLOOKUP($E203,'⚙️ Settings'!$B$15:$C$20,2,FALSE),1)*IF($F203="Monthly",1,IF($F203="Annual",1/12,IF($F203="Quarterly",1/3,IF($F203="Weekly",52/12,0)))))</f>
        <v/>
      </c>
      <c r="H203" s="5"/>
      <c r="I203" s="5"/>
      <c r="J203" s="84"/>
      <c r="K203" s="84"/>
      <c r="L203" s="5"/>
      <c r="M203" s="6"/>
      <c r="N203" s="84"/>
      <c r="O203" s="84"/>
    </row>
    <row r="204" spans="2:15">
      <c r="B204" s="84"/>
      <c r="C204" s="84"/>
      <c r="D204" s="8"/>
      <c r="E204" s="84"/>
      <c r="F204" s="84"/>
      <c r="G204" s="8" t="str">
        <f>IF($B204="","",$D204*IFERROR(VLOOKUP($E204,'⚙️ Settings'!$B$15:$C$20,2,FALSE),1)*IF($F204="Monthly",1,IF($F204="Annual",1/12,IF($F204="Quarterly",1/3,IF($F204="Weekly",52/12,0)))))</f>
        <v/>
      </c>
      <c r="H204" s="5"/>
      <c r="I204" s="5"/>
      <c r="J204" s="84"/>
      <c r="K204" s="84"/>
      <c r="L204" s="5"/>
      <c r="M204" s="6"/>
      <c r="N204" s="84"/>
      <c r="O204" s="84"/>
    </row>
    <row r="205" spans="2:15">
      <c r="B205" s="84"/>
      <c r="C205" s="84"/>
      <c r="D205" s="8"/>
      <c r="E205" s="84"/>
      <c r="F205" s="84"/>
      <c r="G205" s="8" t="str">
        <f>IF($B205="","",$D205*IFERROR(VLOOKUP($E205,'⚙️ Settings'!$B$15:$C$20,2,FALSE),1)*IF($F205="Monthly",1,IF($F205="Annual",1/12,IF($F205="Quarterly",1/3,IF($F205="Weekly",52/12,0)))))</f>
        <v/>
      </c>
      <c r="H205" s="5"/>
      <c r="I205" s="5"/>
      <c r="J205" s="84"/>
      <c r="K205" s="84"/>
      <c r="L205" s="5"/>
      <c r="M205" s="6"/>
      <c r="N205" s="84"/>
      <c r="O205" s="84"/>
    </row>
  </sheetData>
  <mergeCells count="2">
    <mergeCell ref="B2:N2"/>
    <mergeCell ref="B3:N3"/>
  </mergeCells>
  <dataValidations count="6">
    <dataValidation type="list" sqref="E6:E205" xr:uid="{00000000-0002-0000-0100-000000000000}">
      <formula1>"USD,EUR,GBP,AUD,CAD,INR"</formula1>
    </dataValidation>
    <dataValidation type="list" sqref="F6:F205" xr:uid="{00000000-0002-0000-0100-000001000000}">
      <formula1>"Monthly,Annual,Quarterly,Weekly,One-time"</formula1>
    </dataValidation>
    <dataValidation type="list" sqref="C6:C205" xr:uid="{00000000-0002-0000-0100-000002000000}">
      <formula1>"Software,Entertainment,Cloud,Productivity,Utilities,Education,Other"</formula1>
    </dataValidation>
    <dataValidation type="list" sqref="J6:J205" xr:uid="{00000000-0002-0000-0100-000003000000}">
      <formula1>"Active,Paused,Cancelled"</formula1>
    </dataValidation>
    <dataValidation type="list" sqref="K6:K205" xr:uid="{00000000-0002-0000-0100-000004000000}">
      <formula1>"Yes,No"</formula1>
    </dataValidation>
    <dataValidation type="list" sqref="N6:N205" xr:uid="{00000000-0002-0000-0100-000005000000}">
      <formula1>"Keep,Review,Downgrade,Cancel,Switch to Annual"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K70"/>
  <sheetViews>
    <sheetView showGridLines="0" workbookViewId="0"/>
  </sheetViews>
  <sheetFormatPr defaultRowHeight="13.9"/>
  <cols>
    <col min="1" max="1" width="3" customWidth="1"/>
    <col min="2" max="2" width="23.75" customWidth="1"/>
    <col min="3" max="3" width="13.75" customWidth="1"/>
    <col min="4" max="4" width="11.875" customWidth="1"/>
    <col min="5" max="5" width="11.25" customWidth="1"/>
    <col min="6" max="7" width="5.5" customWidth="1"/>
    <col min="8" max="14" width="11.5" customWidth="1"/>
    <col min="15" max="15" width="4.5" customWidth="1"/>
    <col min="16" max="17" width="11.5" customWidth="1"/>
    <col min="18" max="18" width="13.75" customWidth="1"/>
    <col min="19" max="19" width="8.75" customWidth="1"/>
    <col min="20" max="20" width="11.5" customWidth="1"/>
  </cols>
  <sheetData>
    <row r="1" spans="1:37" ht="13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</row>
    <row r="2" spans="1:37" ht="25.5" customHeight="1">
      <c r="A2" s="1"/>
      <c r="B2" s="109" t="s">
        <v>40</v>
      </c>
      <c r="C2" s="109" t="s">
        <v>40</v>
      </c>
      <c r="D2" s="109" t="s">
        <v>40</v>
      </c>
      <c r="E2" s="109" t="s">
        <v>40</v>
      </c>
      <c r="F2" s="109" t="s">
        <v>40</v>
      </c>
      <c r="G2" s="109" t="s">
        <v>40</v>
      </c>
      <c r="H2" s="109" t="s">
        <v>40</v>
      </c>
      <c r="I2" s="109" t="s">
        <v>40</v>
      </c>
      <c r="J2" s="109" t="s">
        <v>40</v>
      </c>
      <c r="K2" s="109" t="s">
        <v>40</v>
      </c>
      <c r="L2" s="109" t="s">
        <v>40</v>
      </c>
      <c r="M2" s="109" t="s">
        <v>40</v>
      </c>
      <c r="N2" s="109" t="s">
        <v>40</v>
      </c>
      <c r="O2" s="109" t="s">
        <v>40</v>
      </c>
      <c r="P2" s="109" t="s">
        <v>40</v>
      </c>
      <c r="Q2" s="109" t="s">
        <v>40</v>
      </c>
      <c r="R2" s="109" t="s">
        <v>40</v>
      </c>
      <c r="S2" s="109" t="s">
        <v>40</v>
      </c>
      <c r="T2" s="109" t="s">
        <v>40</v>
      </c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</row>
    <row r="3" spans="1:37" ht="18" customHeight="1">
      <c r="A3" s="1"/>
      <c r="B3" s="110" t="s">
        <v>101</v>
      </c>
      <c r="C3" s="110" t="s">
        <v>101</v>
      </c>
      <c r="D3" s="110" t="s">
        <v>101</v>
      </c>
      <c r="E3" s="110" t="s">
        <v>101</v>
      </c>
      <c r="F3" s="110" t="s">
        <v>101</v>
      </c>
      <c r="G3" s="110" t="s">
        <v>101</v>
      </c>
      <c r="H3" s="110" t="s">
        <v>101</v>
      </c>
      <c r="I3" s="110" t="s">
        <v>101</v>
      </c>
      <c r="J3" s="110" t="s">
        <v>101</v>
      </c>
      <c r="K3" s="110" t="s">
        <v>101</v>
      </c>
      <c r="L3" s="110" t="s">
        <v>101</v>
      </c>
      <c r="M3" s="110" t="s">
        <v>101</v>
      </c>
      <c r="N3" s="110" t="s">
        <v>101</v>
      </c>
      <c r="O3" s="110" t="s">
        <v>101</v>
      </c>
      <c r="P3" s="110" t="s">
        <v>101</v>
      </c>
      <c r="Q3" s="110" t="s">
        <v>101</v>
      </c>
      <c r="R3" s="110" t="s">
        <v>101</v>
      </c>
      <c r="S3" s="110" t="s">
        <v>101</v>
      </c>
      <c r="T3" s="110" t="s">
        <v>101</v>
      </c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</row>
    <row r="4" spans="1:37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</row>
    <row r="5" spans="1:37" ht="21" customHeight="1">
      <c r="A5" s="1"/>
      <c r="B5" s="111" t="s">
        <v>102</v>
      </c>
      <c r="C5" s="111" t="s">
        <v>102</v>
      </c>
      <c r="D5" s="111" t="s">
        <v>102</v>
      </c>
      <c r="E5" s="111" t="s">
        <v>102</v>
      </c>
      <c r="F5" s="111" t="s">
        <v>102</v>
      </c>
      <c r="G5" s="111" t="s">
        <v>102</v>
      </c>
      <c r="H5" s="111" t="s">
        <v>102</v>
      </c>
      <c r="I5" s="111" t="s">
        <v>102</v>
      </c>
      <c r="J5" s="111" t="s">
        <v>102</v>
      </c>
      <c r="K5" s="111" t="s">
        <v>102</v>
      </c>
      <c r="L5" s="111" t="s">
        <v>102</v>
      </c>
      <c r="M5" s="111" t="s">
        <v>102</v>
      </c>
      <c r="N5" s="111" t="s">
        <v>102</v>
      </c>
      <c r="O5" s="111" t="s">
        <v>102</v>
      </c>
      <c r="P5" s="111" t="s">
        <v>102</v>
      </c>
      <c r="Q5" s="111" t="s">
        <v>102</v>
      </c>
      <c r="R5" s="111" t="s">
        <v>102</v>
      </c>
      <c r="S5" s="111" t="s">
        <v>102</v>
      </c>
      <c r="T5" s="111" t="s">
        <v>102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</row>
    <row r="6" spans="1:37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</row>
    <row r="7" spans="1:37" ht="22.5" customHeight="1">
      <c r="A7" s="1"/>
      <c r="B7" s="62" t="s">
        <v>49</v>
      </c>
      <c r="C7" s="62" t="s">
        <v>56</v>
      </c>
      <c r="D7" s="62" t="s">
        <v>103</v>
      </c>
      <c r="E7" s="62" t="s">
        <v>54</v>
      </c>
      <c r="F7" s="62">
        <v>0</v>
      </c>
      <c r="G7" s="62">
        <v>2</v>
      </c>
      <c r="H7" s="62">
        <v>4</v>
      </c>
      <c r="I7" s="62">
        <v>6</v>
      </c>
      <c r="J7" s="62">
        <v>8</v>
      </c>
      <c r="K7" s="62">
        <v>10</v>
      </c>
      <c r="L7" s="62">
        <v>12</v>
      </c>
      <c r="M7" s="62">
        <v>14</v>
      </c>
      <c r="N7" s="62">
        <v>16</v>
      </c>
      <c r="O7" s="62">
        <v>18</v>
      </c>
      <c r="P7" s="62">
        <v>20</v>
      </c>
      <c r="Q7" s="62">
        <v>22</v>
      </c>
      <c r="R7" s="62">
        <v>24</v>
      </c>
      <c r="S7" s="62">
        <v>26</v>
      </c>
      <c r="T7" s="62">
        <v>28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</row>
    <row r="8" spans="1:37" ht="18" customHeight="1">
      <c r="A8" s="1"/>
      <c r="B8" s="63" t="str">
        <f>IF('📦 Subscriptions'!$B6="","",'📦 Subscriptions'!$B6)</f>
        <v>💠 Adobe Creative Cloud</v>
      </c>
      <c r="C8" s="64">
        <f>IF('📦 Subscriptions'!$B6="","",'📦 Subscriptions'!$I6)</f>
        <v>46175</v>
      </c>
      <c r="D8" s="65">
        <f>'📦 Subscriptions'!$I6-'⚙️ Settings'!$C$7</f>
        <v>8</v>
      </c>
      <c r="E8" s="66">
        <f>'📦 Subscriptions'!$G6</f>
        <v>59.99</v>
      </c>
      <c r="F8" s="67" t="str">
        <f t="shared" ref="F8:T19" si="0">IF(AND($D8&gt;=F$7,$D8&lt;F$7+2,$D8&lt;=30),"●","")</f>
        <v/>
      </c>
      <c r="G8" s="67" t="str">
        <f t="shared" si="0"/>
        <v/>
      </c>
      <c r="H8" s="67" t="str">
        <f t="shared" si="0"/>
        <v/>
      </c>
      <c r="I8" s="67" t="str">
        <f t="shared" si="0"/>
        <v/>
      </c>
      <c r="J8" s="67" t="str">
        <f t="shared" si="0"/>
        <v>●</v>
      </c>
      <c r="K8" s="68" t="str">
        <f t="shared" si="0"/>
        <v/>
      </c>
      <c r="L8" s="68" t="str">
        <f t="shared" si="0"/>
        <v/>
      </c>
      <c r="M8" s="68" t="str">
        <f t="shared" si="0"/>
        <v/>
      </c>
      <c r="N8" s="68" t="str">
        <f t="shared" si="0"/>
        <v/>
      </c>
      <c r="O8" s="68" t="str">
        <f t="shared" si="0"/>
        <v/>
      </c>
      <c r="P8" s="69" t="str">
        <f t="shared" si="0"/>
        <v/>
      </c>
      <c r="Q8" s="69" t="str">
        <f t="shared" si="0"/>
        <v/>
      </c>
      <c r="R8" s="69" t="str">
        <f t="shared" si="0"/>
        <v/>
      </c>
      <c r="S8" s="69" t="str">
        <f t="shared" si="0"/>
        <v/>
      </c>
      <c r="T8" s="69" t="str">
        <f t="shared" si="0"/>
        <v/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 ht="18" customHeight="1">
      <c r="A9" s="1"/>
      <c r="B9" s="63" t="str">
        <f>IF('📦 Subscriptions'!$B7="","",'📦 Subscriptions'!$B7)</f>
        <v>🤖 ChatGPT Plus</v>
      </c>
      <c r="C9" s="64">
        <f>IF('📦 Subscriptions'!$B7="","",'📦 Subscriptions'!$I7)</f>
        <v>46182</v>
      </c>
      <c r="D9" s="65">
        <f>'📦 Subscriptions'!$I7-'⚙️ Settings'!$C$7</f>
        <v>15</v>
      </c>
      <c r="E9" s="66">
        <f>'📦 Subscriptions'!$G7</f>
        <v>20</v>
      </c>
      <c r="F9" s="67" t="str">
        <f t="shared" si="0"/>
        <v/>
      </c>
      <c r="G9" s="67" t="str">
        <f t="shared" si="0"/>
        <v/>
      </c>
      <c r="H9" s="67" t="str">
        <f t="shared" si="0"/>
        <v/>
      </c>
      <c r="I9" s="67" t="str">
        <f t="shared" si="0"/>
        <v/>
      </c>
      <c r="J9" s="67" t="str">
        <f t="shared" si="0"/>
        <v/>
      </c>
      <c r="K9" s="68" t="str">
        <f t="shared" si="0"/>
        <v/>
      </c>
      <c r="L9" s="68" t="str">
        <f t="shared" si="0"/>
        <v/>
      </c>
      <c r="M9" s="68" t="str">
        <f t="shared" si="0"/>
        <v>●</v>
      </c>
      <c r="N9" s="68" t="str">
        <f t="shared" si="0"/>
        <v/>
      </c>
      <c r="O9" s="68" t="str">
        <f t="shared" si="0"/>
        <v/>
      </c>
      <c r="P9" s="69" t="str">
        <f t="shared" si="0"/>
        <v/>
      </c>
      <c r="Q9" s="69" t="str">
        <f t="shared" si="0"/>
        <v/>
      </c>
      <c r="R9" s="69" t="str">
        <f t="shared" si="0"/>
        <v/>
      </c>
      <c r="S9" s="69" t="str">
        <f t="shared" si="0"/>
        <v/>
      </c>
      <c r="T9" s="69" t="str">
        <f t="shared" si="0"/>
        <v/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 ht="18" customHeight="1">
      <c r="A10" s="1"/>
      <c r="B10" s="63" t="str">
        <f>IF('📦 Subscriptions'!$B8="","",'📦 Subscriptions'!$B8)</f>
        <v>🎨 Figma Professional</v>
      </c>
      <c r="C10" s="64">
        <f>IF('📦 Subscriptions'!$B8="","",'📦 Subscriptions'!$I8)</f>
        <v>46185</v>
      </c>
      <c r="D10" s="65">
        <f>'📦 Subscriptions'!$I8-'⚙️ Settings'!$C$7</f>
        <v>18</v>
      </c>
      <c r="E10" s="66">
        <f>'📦 Subscriptions'!$G8</f>
        <v>20</v>
      </c>
      <c r="F10" s="67" t="str">
        <f t="shared" si="0"/>
        <v/>
      </c>
      <c r="G10" s="67" t="str">
        <f t="shared" si="0"/>
        <v/>
      </c>
      <c r="H10" s="67" t="str">
        <f t="shared" si="0"/>
        <v/>
      </c>
      <c r="I10" s="67" t="str">
        <f t="shared" si="0"/>
        <v/>
      </c>
      <c r="J10" s="67" t="str">
        <f t="shared" si="0"/>
        <v/>
      </c>
      <c r="K10" s="68" t="str">
        <f t="shared" si="0"/>
        <v/>
      </c>
      <c r="L10" s="68" t="str">
        <f t="shared" si="0"/>
        <v/>
      </c>
      <c r="M10" s="68" t="str">
        <f t="shared" si="0"/>
        <v/>
      </c>
      <c r="N10" s="68" t="str">
        <f t="shared" si="0"/>
        <v/>
      </c>
      <c r="O10" s="68" t="str">
        <f t="shared" si="0"/>
        <v>●</v>
      </c>
      <c r="P10" s="69" t="str">
        <f t="shared" si="0"/>
        <v/>
      </c>
      <c r="Q10" s="69" t="str">
        <f t="shared" si="0"/>
        <v/>
      </c>
      <c r="R10" s="69" t="str">
        <f t="shared" si="0"/>
        <v/>
      </c>
      <c r="S10" s="69" t="str">
        <f t="shared" si="0"/>
        <v/>
      </c>
      <c r="T10" s="69" t="str">
        <f t="shared" si="0"/>
        <v/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18" customHeight="1">
      <c r="A11" s="1"/>
      <c r="B11" s="63" t="str">
        <f>IF('📦 Subscriptions'!$B9="","",'📦 Subscriptions'!$B9)</f>
        <v>🧠 Notion Plus</v>
      </c>
      <c r="C11" s="64">
        <f>IF('📦 Subscriptions'!$B9="","",'📦 Subscriptions'!$I9)</f>
        <v>46190</v>
      </c>
      <c r="D11" s="65">
        <f>'📦 Subscriptions'!$I9-'⚙️ Settings'!$C$7</f>
        <v>23</v>
      </c>
      <c r="E11" s="66">
        <f>'📦 Subscriptions'!$G9</f>
        <v>10</v>
      </c>
      <c r="F11" s="67" t="str">
        <f t="shared" si="0"/>
        <v/>
      </c>
      <c r="G11" s="67" t="str">
        <f t="shared" si="0"/>
        <v/>
      </c>
      <c r="H11" s="67" t="str">
        <f t="shared" si="0"/>
        <v/>
      </c>
      <c r="I11" s="67" t="str">
        <f t="shared" si="0"/>
        <v/>
      </c>
      <c r="J11" s="67" t="str">
        <f t="shared" si="0"/>
        <v/>
      </c>
      <c r="K11" s="68" t="str">
        <f t="shared" si="0"/>
        <v/>
      </c>
      <c r="L11" s="68" t="str">
        <f t="shared" si="0"/>
        <v/>
      </c>
      <c r="M11" s="68" t="str">
        <f t="shared" si="0"/>
        <v/>
      </c>
      <c r="N11" s="68" t="str">
        <f t="shared" si="0"/>
        <v/>
      </c>
      <c r="O11" s="68" t="str">
        <f t="shared" si="0"/>
        <v/>
      </c>
      <c r="P11" s="69" t="str">
        <f t="shared" si="0"/>
        <v/>
      </c>
      <c r="Q11" s="69" t="str">
        <f t="shared" si="0"/>
        <v>●</v>
      </c>
      <c r="R11" s="69" t="str">
        <f t="shared" si="0"/>
        <v/>
      </c>
      <c r="S11" s="69" t="str">
        <f t="shared" si="0"/>
        <v/>
      </c>
      <c r="T11" s="69" t="str">
        <f t="shared" si="0"/>
        <v/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18" customHeight="1">
      <c r="A12" s="1"/>
      <c r="B12" s="63" t="str">
        <f>IF('📦 Subscriptions'!$B10="","",'📦 Subscriptions'!$B10)</f>
        <v>☁️ Dropbox Plus</v>
      </c>
      <c r="C12" s="64">
        <f>IF('📦 Subscriptions'!$B10="","",'📦 Subscriptions'!$I10)</f>
        <v>46194</v>
      </c>
      <c r="D12" s="65">
        <f>'📦 Subscriptions'!$I10-'⚙️ Settings'!$C$7</f>
        <v>27</v>
      </c>
      <c r="E12" s="66">
        <f>'📦 Subscriptions'!$G10</f>
        <v>11.989999999999998</v>
      </c>
      <c r="F12" s="67" t="str">
        <f t="shared" si="0"/>
        <v/>
      </c>
      <c r="G12" s="67" t="str">
        <f t="shared" si="0"/>
        <v/>
      </c>
      <c r="H12" s="67" t="str">
        <f t="shared" si="0"/>
        <v/>
      </c>
      <c r="I12" s="67" t="str">
        <f t="shared" si="0"/>
        <v/>
      </c>
      <c r="J12" s="67" t="str">
        <f t="shared" si="0"/>
        <v/>
      </c>
      <c r="K12" s="68" t="str">
        <f t="shared" si="0"/>
        <v/>
      </c>
      <c r="L12" s="68" t="str">
        <f t="shared" si="0"/>
        <v/>
      </c>
      <c r="M12" s="68" t="str">
        <f t="shared" si="0"/>
        <v/>
      </c>
      <c r="N12" s="68" t="str">
        <f t="shared" si="0"/>
        <v/>
      </c>
      <c r="O12" s="68" t="str">
        <f t="shared" si="0"/>
        <v/>
      </c>
      <c r="P12" s="69" t="str">
        <f t="shared" si="0"/>
        <v/>
      </c>
      <c r="Q12" s="69" t="str">
        <f t="shared" si="0"/>
        <v/>
      </c>
      <c r="R12" s="69" t="str">
        <f t="shared" si="0"/>
        <v/>
      </c>
      <c r="S12" s="69" t="str">
        <f t="shared" si="0"/>
        <v>●</v>
      </c>
      <c r="T12" s="69" t="str">
        <f t="shared" si="0"/>
        <v/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18" customHeight="1">
      <c r="A13" s="1"/>
      <c r="B13" s="63" t="str">
        <f>IF('📦 Subscriptions'!$B11="","",'📦 Subscriptions'!$B11)</f>
        <v>&lt;/&gt; GitHub Copilot</v>
      </c>
      <c r="C13" s="64">
        <f>IF('📦 Subscriptions'!$B11="","",'📦 Subscriptions'!$I11)</f>
        <v>46198</v>
      </c>
      <c r="D13" s="65">
        <f>'📦 Subscriptions'!$I11-'⚙️ Settings'!$C$7</f>
        <v>31</v>
      </c>
      <c r="E13" s="66">
        <f>'📦 Subscriptions'!$G11</f>
        <v>10</v>
      </c>
      <c r="F13" s="67" t="str">
        <f t="shared" si="0"/>
        <v/>
      </c>
      <c r="G13" s="67" t="str">
        <f t="shared" si="0"/>
        <v/>
      </c>
      <c r="H13" s="67" t="str">
        <f t="shared" si="0"/>
        <v/>
      </c>
      <c r="I13" s="67" t="str">
        <f t="shared" si="0"/>
        <v/>
      </c>
      <c r="J13" s="67" t="str">
        <f t="shared" si="0"/>
        <v/>
      </c>
      <c r="K13" s="68" t="str">
        <f t="shared" si="0"/>
        <v/>
      </c>
      <c r="L13" s="68" t="str">
        <f t="shared" si="0"/>
        <v/>
      </c>
      <c r="M13" s="68" t="str">
        <f t="shared" si="0"/>
        <v/>
      </c>
      <c r="N13" s="68" t="str">
        <f t="shared" si="0"/>
        <v/>
      </c>
      <c r="O13" s="68" t="str">
        <f t="shared" si="0"/>
        <v/>
      </c>
      <c r="P13" s="69" t="str">
        <f t="shared" si="0"/>
        <v/>
      </c>
      <c r="Q13" s="69" t="str">
        <f t="shared" si="0"/>
        <v/>
      </c>
      <c r="R13" s="69" t="str">
        <f t="shared" si="0"/>
        <v/>
      </c>
      <c r="S13" s="69" t="str">
        <f t="shared" si="0"/>
        <v/>
      </c>
      <c r="T13" s="69" t="str">
        <f t="shared" si="0"/>
        <v/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18" customHeight="1">
      <c r="A14" s="1"/>
      <c r="B14" s="63" t="str">
        <f>IF('📦 Subscriptions'!$B12="","",'📦 Subscriptions'!$B12)</f>
        <v>🎬 Netflix</v>
      </c>
      <c r="C14" s="64">
        <f>IF('📦 Subscriptions'!$B12="","",'📦 Subscriptions'!$I12)</f>
        <v>46202</v>
      </c>
      <c r="D14" s="65">
        <f>'📦 Subscriptions'!$I12-'⚙️ Settings'!$C$7</f>
        <v>35</v>
      </c>
      <c r="E14" s="66">
        <f>'📦 Subscriptions'!$G12</f>
        <v>15.49</v>
      </c>
      <c r="F14" s="67" t="str">
        <f t="shared" si="0"/>
        <v/>
      </c>
      <c r="G14" s="67" t="str">
        <f t="shared" si="0"/>
        <v/>
      </c>
      <c r="H14" s="67" t="str">
        <f t="shared" si="0"/>
        <v/>
      </c>
      <c r="I14" s="67" t="str">
        <f t="shared" si="0"/>
        <v/>
      </c>
      <c r="J14" s="67" t="str">
        <f t="shared" si="0"/>
        <v/>
      </c>
      <c r="K14" s="68" t="str">
        <f t="shared" si="0"/>
        <v/>
      </c>
      <c r="L14" s="68" t="str">
        <f t="shared" si="0"/>
        <v/>
      </c>
      <c r="M14" s="68" t="str">
        <f t="shared" si="0"/>
        <v/>
      </c>
      <c r="N14" s="68" t="str">
        <f t="shared" si="0"/>
        <v/>
      </c>
      <c r="O14" s="68" t="str">
        <f t="shared" si="0"/>
        <v/>
      </c>
      <c r="P14" s="69" t="str">
        <f t="shared" si="0"/>
        <v/>
      </c>
      <c r="Q14" s="69" t="str">
        <f t="shared" si="0"/>
        <v/>
      </c>
      <c r="R14" s="69" t="str">
        <f t="shared" si="0"/>
        <v/>
      </c>
      <c r="S14" s="69" t="str">
        <f t="shared" si="0"/>
        <v/>
      </c>
      <c r="T14" s="69" t="str">
        <f t="shared" si="0"/>
        <v/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18" customHeight="1">
      <c r="A15" s="1"/>
      <c r="B15" s="63" t="str">
        <f>IF('📦 Subscriptions'!$B13="","",'📦 Subscriptions'!$B13)</f>
        <v>🎧 Spotify</v>
      </c>
      <c r="C15" s="64">
        <f>IF('📦 Subscriptions'!$B13="","",'📦 Subscriptions'!$I13)</f>
        <v>46205</v>
      </c>
      <c r="D15" s="65">
        <f>'📦 Subscriptions'!$I13-'⚙️ Settings'!$C$7</f>
        <v>38</v>
      </c>
      <c r="E15" s="66">
        <f>'📦 Subscriptions'!$G13</f>
        <v>10.99</v>
      </c>
      <c r="F15" s="67" t="str">
        <f t="shared" si="0"/>
        <v/>
      </c>
      <c r="G15" s="67" t="str">
        <f t="shared" si="0"/>
        <v/>
      </c>
      <c r="H15" s="67" t="str">
        <f t="shared" si="0"/>
        <v/>
      </c>
      <c r="I15" s="67" t="str">
        <f t="shared" si="0"/>
        <v/>
      </c>
      <c r="J15" s="67" t="str">
        <f t="shared" si="0"/>
        <v/>
      </c>
      <c r="K15" s="68" t="str">
        <f t="shared" si="0"/>
        <v/>
      </c>
      <c r="L15" s="68" t="str">
        <f t="shared" si="0"/>
        <v/>
      </c>
      <c r="M15" s="68" t="str">
        <f t="shared" si="0"/>
        <v/>
      </c>
      <c r="N15" s="68" t="str">
        <f t="shared" si="0"/>
        <v/>
      </c>
      <c r="O15" s="68" t="str">
        <f t="shared" si="0"/>
        <v/>
      </c>
      <c r="P15" s="69" t="str">
        <f t="shared" si="0"/>
        <v/>
      </c>
      <c r="Q15" s="69" t="str">
        <f t="shared" si="0"/>
        <v/>
      </c>
      <c r="R15" s="69" t="str">
        <f t="shared" si="0"/>
        <v/>
      </c>
      <c r="S15" s="69" t="str">
        <f t="shared" si="0"/>
        <v/>
      </c>
      <c r="T15" s="69" t="str">
        <f t="shared" si="0"/>
        <v/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18" customHeight="1">
      <c r="A16" s="1"/>
      <c r="B16" s="63" t="str">
        <f>IF('📦 Subscriptions'!$B14="","",'📦 Subscriptions'!$B14)</f>
        <v>☁️ iCloud+</v>
      </c>
      <c r="C16" s="64">
        <f>IF('📦 Subscriptions'!$B14="","",'📦 Subscriptions'!$I14)</f>
        <v>46208</v>
      </c>
      <c r="D16" s="65">
        <f>'📦 Subscriptions'!$I14-'⚙️ Settings'!$C$7</f>
        <v>41</v>
      </c>
      <c r="E16" s="66">
        <f>'📦 Subscriptions'!$G14</f>
        <v>2.99</v>
      </c>
      <c r="F16" s="67" t="str">
        <f t="shared" si="0"/>
        <v/>
      </c>
      <c r="G16" s="67" t="str">
        <f t="shared" si="0"/>
        <v/>
      </c>
      <c r="H16" s="67" t="str">
        <f t="shared" si="0"/>
        <v/>
      </c>
      <c r="I16" s="67" t="str">
        <f t="shared" si="0"/>
        <v/>
      </c>
      <c r="J16" s="67" t="str">
        <f t="shared" si="0"/>
        <v/>
      </c>
      <c r="K16" s="68" t="str">
        <f t="shared" si="0"/>
        <v/>
      </c>
      <c r="L16" s="68" t="str">
        <f t="shared" si="0"/>
        <v/>
      </c>
      <c r="M16" s="68" t="str">
        <f t="shared" si="0"/>
        <v/>
      </c>
      <c r="N16" s="68" t="str">
        <f t="shared" si="0"/>
        <v/>
      </c>
      <c r="O16" s="68" t="str">
        <f t="shared" si="0"/>
        <v/>
      </c>
      <c r="P16" s="69" t="str">
        <f t="shared" si="0"/>
        <v/>
      </c>
      <c r="Q16" s="69" t="str">
        <f t="shared" si="0"/>
        <v/>
      </c>
      <c r="R16" s="69" t="str">
        <f t="shared" si="0"/>
        <v/>
      </c>
      <c r="S16" s="69" t="str">
        <f t="shared" si="0"/>
        <v/>
      </c>
      <c r="T16" s="69" t="str">
        <f t="shared" si="0"/>
        <v/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18" customHeight="1">
      <c r="A17" s="1"/>
      <c r="B17" s="63" t="str">
        <f>IF('📦 Subscriptions'!$B15="","",'📦 Subscriptions'!$B15)</f>
        <v>🔐 NordVPN</v>
      </c>
      <c r="C17" s="64">
        <f>IF('📦 Subscriptions'!$B15="","",'📦 Subscriptions'!$I15)</f>
        <v>46248</v>
      </c>
      <c r="D17" s="65">
        <f>'📦 Subscriptions'!$I15-'⚙️ Settings'!$C$7</f>
        <v>81</v>
      </c>
      <c r="E17" s="66">
        <f>'📦 Subscriptions'!$G15</f>
        <v>5.9899999999999993</v>
      </c>
      <c r="F17" s="67" t="str">
        <f t="shared" si="0"/>
        <v/>
      </c>
      <c r="G17" s="67" t="str">
        <f t="shared" si="0"/>
        <v/>
      </c>
      <c r="H17" s="67" t="str">
        <f t="shared" si="0"/>
        <v/>
      </c>
      <c r="I17" s="67" t="str">
        <f t="shared" si="0"/>
        <v/>
      </c>
      <c r="J17" s="67" t="str">
        <f t="shared" si="0"/>
        <v/>
      </c>
      <c r="K17" s="68" t="str">
        <f t="shared" si="0"/>
        <v/>
      </c>
      <c r="L17" s="68" t="str">
        <f t="shared" si="0"/>
        <v/>
      </c>
      <c r="M17" s="68" t="str">
        <f t="shared" si="0"/>
        <v/>
      </c>
      <c r="N17" s="68" t="str">
        <f t="shared" si="0"/>
        <v/>
      </c>
      <c r="O17" s="68" t="str">
        <f t="shared" si="0"/>
        <v/>
      </c>
      <c r="P17" s="69" t="str">
        <f t="shared" si="0"/>
        <v/>
      </c>
      <c r="Q17" s="69" t="str">
        <f t="shared" si="0"/>
        <v/>
      </c>
      <c r="R17" s="69" t="str">
        <f t="shared" si="0"/>
        <v/>
      </c>
      <c r="S17" s="69" t="str">
        <f t="shared" si="0"/>
        <v/>
      </c>
      <c r="T17" s="69" t="str">
        <f t="shared" si="0"/>
        <v/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18" customHeight="1">
      <c r="A18" s="1"/>
      <c r="B18" s="63" t="str">
        <f>IF('📦 Subscriptions'!$B16="","",'📦 Subscriptions'!$B16)</f>
        <v>🎓 Skillshare</v>
      </c>
      <c r="C18" s="64">
        <f>IF('📦 Subscriptions'!$B16="","",'📦 Subscriptions'!$I16)</f>
        <v>46266</v>
      </c>
      <c r="D18" s="65">
        <f>'📦 Subscriptions'!$I16-'⚙️ Settings'!$C$7</f>
        <v>99</v>
      </c>
      <c r="E18" s="66">
        <f>'📦 Subscriptions'!$G16</f>
        <v>15.14</v>
      </c>
      <c r="F18" s="67" t="str">
        <f t="shared" si="0"/>
        <v/>
      </c>
      <c r="G18" s="67" t="str">
        <f t="shared" si="0"/>
        <v/>
      </c>
      <c r="H18" s="67" t="str">
        <f t="shared" si="0"/>
        <v/>
      </c>
      <c r="I18" s="67" t="str">
        <f t="shared" si="0"/>
        <v/>
      </c>
      <c r="J18" s="67" t="str">
        <f t="shared" si="0"/>
        <v/>
      </c>
      <c r="K18" s="68" t="str">
        <f t="shared" si="0"/>
        <v/>
      </c>
      <c r="L18" s="68" t="str">
        <f t="shared" si="0"/>
        <v/>
      </c>
      <c r="M18" s="68" t="str">
        <f t="shared" si="0"/>
        <v/>
      </c>
      <c r="N18" s="68" t="str">
        <f t="shared" si="0"/>
        <v/>
      </c>
      <c r="O18" s="68" t="str">
        <f t="shared" si="0"/>
        <v/>
      </c>
      <c r="P18" s="69" t="str">
        <f t="shared" si="0"/>
        <v/>
      </c>
      <c r="Q18" s="69" t="str">
        <f t="shared" si="0"/>
        <v/>
      </c>
      <c r="R18" s="69" t="str">
        <f t="shared" si="0"/>
        <v/>
      </c>
      <c r="S18" s="69" t="str">
        <f t="shared" si="0"/>
        <v/>
      </c>
      <c r="T18" s="69" t="str">
        <f t="shared" si="0"/>
        <v/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18" customHeight="1">
      <c r="A19" s="1"/>
      <c r="B19" s="63" t="str">
        <f>IF('📦 Subscriptions'!$B17="","",'📦 Subscriptions'!$B17)</f>
        <v/>
      </c>
      <c r="C19" s="64" t="str">
        <f>IF('📦 Subscriptions'!$B17="","",'📦 Subscriptions'!$I17)</f>
        <v/>
      </c>
      <c r="D19" s="65">
        <f>'📦 Subscriptions'!$I17-'⚙️ Settings'!$C$7</f>
        <v>-46167</v>
      </c>
      <c r="E19" s="66">
        <f>'📦 Subscriptions'!$G17</f>
        <v>0</v>
      </c>
      <c r="F19" s="67" t="str">
        <f t="shared" si="0"/>
        <v/>
      </c>
      <c r="G19" s="67" t="str">
        <f t="shared" si="0"/>
        <v/>
      </c>
      <c r="H19" s="67" t="str">
        <f t="shared" si="0"/>
        <v/>
      </c>
      <c r="I19" s="67" t="str">
        <f t="shared" si="0"/>
        <v/>
      </c>
      <c r="J19" s="67" t="str">
        <f t="shared" si="0"/>
        <v/>
      </c>
      <c r="K19" s="68" t="str">
        <f t="shared" si="0"/>
        <v/>
      </c>
      <c r="L19" s="68" t="str">
        <f t="shared" si="0"/>
        <v/>
      </c>
      <c r="M19" s="68" t="str">
        <f t="shared" si="0"/>
        <v/>
      </c>
      <c r="N19" s="68" t="str">
        <f t="shared" si="0"/>
        <v/>
      </c>
      <c r="O19" s="68" t="str">
        <f t="shared" si="0"/>
        <v/>
      </c>
      <c r="P19" s="69" t="str">
        <f t="shared" si="0"/>
        <v/>
      </c>
      <c r="Q19" s="69" t="str">
        <f t="shared" si="0"/>
        <v/>
      </c>
      <c r="R19" s="69" t="str">
        <f t="shared" si="0"/>
        <v/>
      </c>
      <c r="S19" s="69" t="str">
        <f t="shared" si="0"/>
        <v/>
      </c>
      <c r="T19" s="69" t="str">
        <f t="shared" si="0"/>
        <v/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22.5" customHeight="1">
      <c r="A22" s="1"/>
      <c r="B22" s="111" t="s">
        <v>104</v>
      </c>
      <c r="C22" s="111" t="s">
        <v>104</v>
      </c>
      <c r="D22" s="111" t="s">
        <v>104</v>
      </c>
      <c r="E22" s="111" t="s">
        <v>104</v>
      </c>
      <c r="F22" s="111" t="s">
        <v>104</v>
      </c>
      <c r="G22" s="1"/>
      <c r="H22" s="112" t="str">
        <f>"Renewal Calendar  •  "&amp;TEXT('⚙️ Settings'!$C$7-WEEKDAY('⚙️ Settings'!$C$7,2)+1,"mmm d")&amp;" - "&amp;TEXT('⚙️ Settings'!$C$7-WEEKDAY('⚙️ Settings'!$C$7,2)+42,"mmm d")</f>
        <v>Renewal Calendar  •  May 25 - Jul 5</v>
      </c>
      <c r="I22" s="112"/>
      <c r="J22" s="112"/>
      <c r="K22" s="112"/>
      <c r="L22" s="112"/>
      <c r="M22" s="112"/>
      <c r="N22" s="112"/>
      <c r="O22" s="1"/>
      <c r="P22" s="111" t="s">
        <v>105</v>
      </c>
      <c r="Q22" s="111" t="s">
        <v>105</v>
      </c>
      <c r="R22" s="111" t="s">
        <v>105</v>
      </c>
      <c r="S22" s="111" t="s">
        <v>105</v>
      </c>
      <c r="T22" s="111" t="s">
        <v>105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19.5" customHeight="1">
      <c r="A23" s="1"/>
      <c r="B23" s="1"/>
      <c r="C23" s="1"/>
      <c r="D23" s="1"/>
      <c r="E23" s="1"/>
      <c r="F23" s="1"/>
      <c r="G23" s="1"/>
      <c r="H23" s="73" t="s">
        <v>106</v>
      </c>
      <c r="I23" s="72"/>
      <c r="J23" s="74" t="s">
        <v>107</v>
      </c>
      <c r="K23" s="72"/>
      <c r="L23" s="75" t="s">
        <v>108</v>
      </c>
      <c r="M23" s="72"/>
      <c r="N23" s="72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22.5" customHeight="1">
      <c r="A24" s="1"/>
      <c r="B24" s="4" t="s">
        <v>49</v>
      </c>
      <c r="C24" s="4" t="s">
        <v>56</v>
      </c>
      <c r="D24" s="4" t="s">
        <v>103</v>
      </c>
      <c r="E24" s="4" t="s">
        <v>54</v>
      </c>
      <c r="F24" s="4" t="s">
        <v>109</v>
      </c>
      <c r="G24" s="1"/>
      <c r="H24" s="76" t="s">
        <v>110</v>
      </c>
      <c r="I24" s="76" t="s">
        <v>111</v>
      </c>
      <c r="J24" s="76" t="s">
        <v>112</v>
      </c>
      <c r="K24" s="76" t="s">
        <v>113</v>
      </c>
      <c r="L24" s="76" t="s">
        <v>114</v>
      </c>
      <c r="M24" s="76" t="s">
        <v>115</v>
      </c>
      <c r="N24" s="76" t="s">
        <v>116</v>
      </c>
      <c r="O24" s="1"/>
      <c r="P24" s="4" t="s">
        <v>117</v>
      </c>
      <c r="Q24" s="4" t="s">
        <v>40</v>
      </c>
      <c r="R24" s="4" t="s">
        <v>118</v>
      </c>
      <c r="S24" s="4" t="s">
        <v>119</v>
      </c>
      <c r="T24" s="4" t="s">
        <v>120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54" customHeight="1">
      <c r="A25" s="1"/>
      <c r="B25" s="84" t="str">
        <f>IF('📦 Subscriptions'!$B6="","",'📦 Subscriptions'!$B6)</f>
        <v>💠 Adobe Creative Cloud</v>
      </c>
      <c r="C25" s="5">
        <f>IF('📦 Subscriptions'!$B6="","",'📦 Subscriptions'!$I6)</f>
        <v>46175</v>
      </c>
      <c r="D25" s="71">
        <f>IF('📦 Subscriptions'!$B6="","",'📦 Subscriptions'!$I6-'⚙️ Settings'!$C$7)</f>
        <v>8</v>
      </c>
      <c r="E25" s="8">
        <f>IF('📦 Subscriptions'!$B6="","",'📦 Subscriptions'!$G6)</f>
        <v>59.99</v>
      </c>
      <c r="F25" s="70" t="str">
        <f>IF('📦 Subscriptions'!$B6="","",'📦 Subscriptions'!$K6)</f>
        <v>Yes</v>
      </c>
      <c r="G25" s="1"/>
      <c r="H25" s="79" t="s">
        <v>121</v>
      </c>
      <c r="I25" s="77" t="s">
        <v>122</v>
      </c>
      <c r="J25" s="77" t="s">
        <v>123</v>
      </c>
      <c r="K25" s="77" t="s">
        <v>124</v>
      </c>
      <c r="L25" s="77" t="s">
        <v>125</v>
      </c>
      <c r="M25" s="78" t="s">
        <v>126</v>
      </c>
      <c r="N25" s="78" t="s">
        <v>127</v>
      </c>
      <c r="O25" s="1"/>
      <c r="P25" s="84" t="str">
        <f>TEXT(EDATE(DATE(YEAR('⚙️ Settings'!$C$7),MONTH('⚙️ Settings'!$C$7),1),0),"mmm")</f>
        <v>May</v>
      </c>
      <c r="Q25" s="84">
        <f>COUNTIFS('📦 Subscriptions'!$J$6:$J$205,"Active",'📦 Subscriptions'!$I$6:$I$205,"&gt;="&amp;EDATE(DATE(YEAR('⚙️ Settings'!$C$7),MONTH('⚙️ Settings'!$C$7),1),0),'📦 Subscriptions'!$I$6:$I$205,"&lt;"&amp;EDATE(EDATE(DATE(YEAR('⚙️ Settings'!$C$7),MONTH('⚙️ Settings'!$C$7),1),0),1))</f>
        <v>0</v>
      </c>
      <c r="R25" s="8">
        <f>SUMIFS('📦 Subscriptions'!$G$6:$G$205,'📦 Subscriptions'!$J$6:$J$205,"Active",'📦 Subscriptions'!$I$6:$I$205,"&gt;="&amp;EDATE(DATE(YEAR('⚙️ Settings'!$C$7),MONTH('⚙️ Settings'!$C$7),1),0),'📦 Subscriptions'!$I$6:$I$205,"&lt;"&amp;EDATE(EDATE(DATE(YEAR('⚙️ Settings'!$C$7),MONTH('⚙️ Settings'!$C$7),1),0),1))</f>
        <v>0</v>
      </c>
      <c r="S25" s="6">
        <f>MIN(1,IFERROR(Q25/COUNTIFS('📦 Subscriptions'!$J$6:$J$205,"Active"),0))</f>
        <v>0</v>
      </c>
      <c r="T25" s="84" t="str">
        <f t="shared" ref="T25:T31" si="1">IF(S25&gt;=0.5,"Review",IF(S25&gt;=0.25,"Watch","Stable"))</f>
        <v>Stable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54" customHeight="1">
      <c r="A26" s="1"/>
      <c r="B26" s="84" t="str">
        <f>IF('📦 Subscriptions'!$B7="","",'📦 Subscriptions'!$B7)</f>
        <v>🤖 ChatGPT Plus</v>
      </c>
      <c r="C26" s="5">
        <f>IF('📦 Subscriptions'!$B7="","",'📦 Subscriptions'!$I7)</f>
        <v>46182</v>
      </c>
      <c r="D26" s="71">
        <f>IF('📦 Subscriptions'!$B7="","",'📦 Subscriptions'!$I7-'⚙️ Settings'!$C$7)</f>
        <v>15</v>
      </c>
      <c r="E26" s="8">
        <f>IF('📦 Subscriptions'!$B7="","",'📦 Subscriptions'!$G7)</f>
        <v>20</v>
      </c>
      <c r="F26" s="70" t="str">
        <f>IF('📦 Subscriptions'!$B7="","",'📦 Subscriptions'!$K7)</f>
        <v>Yes</v>
      </c>
      <c r="G26" s="1"/>
      <c r="H26" s="77" t="s">
        <v>128</v>
      </c>
      <c r="I26" s="80" t="s">
        <v>129</v>
      </c>
      <c r="J26" s="77" t="s">
        <v>130</v>
      </c>
      <c r="K26" s="77" t="s">
        <v>131</v>
      </c>
      <c r="L26" s="77" t="s">
        <v>132</v>
      </c>
      <c r="M26" s="78" t="s">
        <v>133</v>
      </c>
      <c r="N26" s="78" t="s">
        <v>134</v>
      </c>
      <c r="O26" s="1"/>
      <c r="P26" s="84" t="str">
        <f>TEXT(EDATE(DATE(YEAR('⚙️ Settings'!$C$7),MONTH('⚙️ Settings'!$C$7),1),1),"mmm")</f>
        <v>Jun</v>
      </c>
      <c r="Q26" s="84">
        <f>COUNTIFS('📦 Subscriptions'!$J$6:$J$205,"Active",'📦 Subscriptions'!$I$6:$I$205,"&gt;="&amp;EDATE(DATE(YEAR('⚙️ Settings'!$C$7),MONTH('⚙️ Settings'!$C$7),1),1),'📦 Subscriptions'!$I$6:$I$205,"&lt;"&amp;EDATE(EDATE(DATE(YEAR('⚙️ Settings'!$C$7),MONTH('⚙️ Settings'!$C$7),1),1),1))</f>
        <v>7</v>
      </c>
      <c r="R26" s="8">
        <f>SUMIFS('📦 Subscriptions'!$G$6:$G$205,'📦 Subscriptions'!$J$6:$J$205,"Active",'📦 Subscriptions'!$I$6:$I$205,"&gt;="&amp;EDATE(DATE(YEAR('⚙️ Settings'!$C$7),MONTH('⚙️ Settings'!$C$7),1),1),'📦 Subscriptions'!$I$6:$I$205,"&lt;"&amp;EDATE(EDATE(DATE(YEAR('⚙️ Settings'!$C$7),MONTH('⚙️ Settings'!$C$7),1),1),1))</f>
        <v>147.47000000000003</v>
      </c>
      <c r="S26" s="6">
        <f>MIN(1,IFERROR(Q26/COUNTIFS('📦 Subscriptions'!$J$6:$J$205,"Active"),0))</f>
        <v>0.63636363636363635</v>
      </c>
      <c r="T26" s="84" t="str">
        <f t="shared" si="1"/>
        <v>Review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54" customHeight="1">
      <c r="A27" s="1"/>
      <c r="B27" s="84" t="str">
        <f>IF('📦 Subscriptions'!$B8="","",'📦 Subscriptions'!$B8)</f>
        <v>🎨 Figma Professional</v>
      </c>
      <c r="C27" s="5">
        <f>IF('📦 Subscriptions'!$B8="","",'📦 Subscriptions'!$I8)</f>
        <v>46185</v>
      </c>
      <c r="D27" s="71">
        <f>IF('📦 Subscriptions'!$B8="","",'📦 Subscriptions'!$I8-'⚙️ Settings'!$C$7)</f>
        <v>18</v>
      </c>
      <c r="E27" s="8">
        <f>IF('📦 Subscriptions'!$B8="","",'📦 Subscriptions'!$G8)</f>
        <v>20</v>
      </c>
      <c r="F27" s="70" t="str">
        <f>IF('📦 Subscriptions'!$B8="","",'📦 Subscriptions'!$K8)</f>
        <v>Yes</v>
      </c>
      <c r="G27" s="1"/>
      <c r="H27" s="77" t="s">
        <v>135</v>
      </c>
      <c r="I27" s="80" t="s">
        <v>136</v>
      </c>
      <c r="J27" s="77" t="s">
        <v>137</v>
      </c>
      <c r="K27" s="77" t="s">
        <v>138</v>
      </c>
      <c r="L27" s="80" t="s">
        <v>139</v>
      </c>
      <c r="M27" s="78" t="s">
        <v>140</v>
      </c>
      <c r="N27" s="78" t="s">
        <v>141</v>
      </c>
      <c r="O27" s="1"/>
      <c r="P27" s="84" t="str">
        <f>TEXT(EDATE(DATE(YEAR('⚙️ Settings'!$C$7),MONTH('⚙️ Settings'!$C$7),1),2),"mmm")</f>
        <v>Jul</v>
      </c>
      <c r="Q27" s="84">
        <f>COUNTIFS('📦 Subscriptions'!$J$6:$J$205,"Active",'📦 Subscriptions'!$I$6:$I$205,"&gt;="&amp;EDATE(DATE(YEAR('⚙️ Settings'!$C$7),MONTH('⚙️ Settings'!$C$7),1),2),'📦 Subscriptions'!$I$6:$I$205,"&lt;"&amp;EDATE(EDATE(DATE(YEAR('⚙️ Settings'!$C$7),MONTH('⚙️ Settings'!$C$7),1),2),1))</f>
        <v>2</v>
      </c>
      <c r="R27" s="8">
        <f>SUMIFS('📦 Subscriptions'!$G$6:$G$205,'📦 Subscriptions'!$J$6:$J$205,"Active",'📦 Subscriptions'!$I$6:$I$205,"&gt;="&amp;EDATE(DATE(YEAR('⚙️ Settings'!$C$7),MONTH('⚙️ Settings'!$C$7),1),2),'📦 Subscriptions'!$I$6:$I$205,"&lt;"&amp;EDATE(EDATE(DATE(YEAR('⚙️ Settings'!$C$7),MONTH('⚙️ Settings'!$C$7),1),2),1))</f>
        <v>13.98</v>
      </c>
      <c r="S27" s="6">
        <f>MIN(1,IFERROR(Q27/COUNTIFS('📦 Subscriptions'!$J$6:$J$205,"Active"),0))</f>
        <v>0.18181818181818182</v>
      </c>
      <c r="T27" s="84" t="str">
        <f t="shared" si="1"/>
        <v>Stable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54" customHeight="1">
      <c r="A28" s="1"/>
      <c r="B28" s="84" t="str">
        <f>IF('📦 Subscriptions'!$B9="","",'📦 Subscriptions'!$B9)</f>
        <v>🧠 Notion Plus</v>
      </c>
      <c r="C28" s="5">
        <f>IF('📦 Subscriptions'!$B9="","",'📦 Subscriptions'!$I9)</f>
        <v>46190</v>
      </c>
      <c r="D28" s="71">
        <f>IF('📦 Subscriptions'!$B9="","",'📦 Subscriptions'!$I9-'⚙️ Settings'!$C$7)</f>
        <v>23</v>
      </c>
      <c r="E28" s="8">
        <f>IF('📦 Subscriptions'!$B9="","",'📦 Subscriptions'!$G9)</f>
        <v>10</v>
      </c>
      <c r="F28" s="70" t="str">
        <f>IF('📦 Subscriptions'!$B9="","",'📦 Subscriptions'!$K9)</f>
        <v>Yes</v>
      </c>
      <c r="G28" s="1"/>
      <c r="H28" s="77" t="s">
        <v>142</v>
      </c>
      <c r="I28" s="77" t="s">
        <v>143</v>
      </c>
      <c r="J28" s="80" t="s">
        <v>144</v>
      </c>
      <c r="K28" s="77" t="s">
        <v>145</v>
      </c>
      <c r="L28" s="77" t="s">
        <v>146</v>
      </c>
      <c r="M28" s="78" t="s">
        <v>147</v>
      </c>
      <c r="N28" s="81" t="s">
        <v>148</v>
      </c>
      <c r="O28" s="1"/>
      <c r="P28" s="84" t="str">
        <f>TEXT(EDATE(DATE(YEAR('⚙️ Settings'!$C$7),MONTH('⚙️ Settings'!$C$7),1),3),"mmm")</f>
        <v>Aug</v>
      </c>
      <c r="Q28" s="84">
        <f>COUNTIFS('📦 Subscriptions'!$J$6:$J$205,"Active",'📦 Subscriptions'!$I$6:$I$205,"&gt;="&amp;EDATE(DATE(YEAR('⚙️ Settings'!$C$7),MONTH('⚙️ Settings'!$C$7),1),3),'📦 Subscriptions'!$I$6:$I$205,"&lt;"&amp;EDATE(EDATE(DATE(YEAR('⚙️ Settings'!$C$7),MONTH('⚙️ Settings'!$C$7),1),3),1))</f>
        <v>1</v>
      </c>
      <c r="R28" s="8">
        <f>SUMIFS('📦 Subscriptions'!$G$6:$G$205,'📦 Subscriptions'!$J$6:$J$205,"Active",'📦 Subscriptions'!$I$6:$I$205,"&gt;="&amp;EDATE(DATE(YEAR('⚙️ Settings'!$C$7),MONTH('⚙️ Settings'!$C$7),1),3),'📦 Subscriptions'!$I$6:$I$205,"&lt;"&amp;EDATE(EDATE(DATE(YEAR('⚙️ Settings'!$C$7),MONTH('⚙️ Settings'!$C$7),1),3),1))</f>
        <v>5.9899999999999993</v>
      </c>
      <c r="S28" s="6">
        <f>MIN(1,IFERROR(Q28/COUNTIFS('📦 Subscriptions'!$J$6:$J$205,"Active"),0))</f>
        <v>9.0909090909090912E-2</v>
      </c>
      <c r="T28" s="84" t="str">
        <f t="shared" si="1"/>
        <v>Stable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54" customHeight="1">
      <c r="A29" s="1"/>
      <c r="B29" s="84" t="str">
        <f>IF('📦 Subscriptions'!$B10="","",'📦 Subscriptions'!$B10)</f>
        <v>☁️ Dropbox Plus</v>
      </c>
      <c r="C29" s="5">
        <f>IF('📦 Subscriptions'!$B10="","",'📦 Subscriptions'!$I10)</f>
        <v>46194</v>
      </c>
      <c r="D29" s="71">
        <f>IF('📦 Subscriptions'!$B10="","",'📦 Subscriptions'!$I10-'⚙️ Settings'!$C$7)</f>
        <v>27</v>
      </c>
      <c r="E29" s="8">
        <f>IF('📦 Subscriptions'!$B10="","",'📦 Subscriptions'!$G10)</f>
        <v>11.989999999999998</v>
      </c>
      <c r="F29" s="70" t="str">
        <f>IF('📦 Subscriptions'!$B10="","",'📦 Subscriptions'!$K10)</f>
        <v>Yes</v>
      </c>
      <c r="G29" s="1"/>
      <c r="H29" s="77" t="s">
        <v>149</v>
      </c>
      <c r="I29" s="77" t="s">
        <v>150</v>
      </c>
      <c r="J29" s="77" t="s">
        <v>151</v>
      </c>
      <c r="K29" s="80" t="s">
        <v>152</v>
      </c>
      <c r="L29" s="77" t="s">
        <v>122</v>
      </c>
      <c r="M29" s="78" t="s">
        <v>123</v>
      </c>
      <c r="N29" s="78" t="s">
        <v>124</v>
      </c>
      <c r="O29" s="1"/>
      <c r="P29" s="84" t="str">
        <f>TEXT(EDATE(DATE(YEAR('⚙️ Settings'!$C$7),MONTH('⚙️ Settings'!$C$7),1),4),"mmm")</f>
        <v>Sep</v>
      </c>
      <c r="Q29" s="84">
        <f>COUNTIFS('📦 Subscriptions'!$J$6:$J$205,"Active",'📦 Subscriptions'!$I$6:$I$205,"&gt;="&amp;EDATE(DATE(YEAR('⚙️ Settings'!$C$7),MONTH('⚙️ Settings'!$C$7),1),4),'📦 Subscriptions'!$I$6:$I$205,"&lt;"&amp;EDATE(EDATE(DATE(YEAR('⚙️ Settings'!$C$7),MONTH('⚙️ Settings'!$C$7),1),4),1))</f>
        <v>1</v>
      </c>
      <c r="R29" s="8">
        <f>SUMIFS('📦 Subscriptions'!$G$6:$G$205,'📦 Subscriptions'!$J$6:$J$205,"Active",'📦 Subscriptions'!$I$6:$I$205,"&gt;="&amp;EDATE(DATE(YEAR('⚙️ Settings'!$C$7),MONTH('⚙️ Settings'!$C$7),1),4),'📦 Subscriptions'!$I$6:$I$205,"&lt;"&amp;EDATE(EDATE(DATE(YEAR('⚙️ Settings'!$C$7),MONTH('⚙️ Settings'!$C$7),1),4),1))</f>
        <v>15.14</v>
      </c>
      <c r="S29" s="6">
        <f>MIN(1,IFERROR(Q29/COUNTIFS('📦 Subscriptions'!$J$6:$J$205,"Active"),0))</f>
        <v>9.0909090909090912E-2</v>
      </c>
      <c r="T29" s="84" t="str">
        <f t="shared" si="1"/>
        <v>Stable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54" customHeight="1">
      <c r="A30" s="1"/>
      <c r="B30" s="84" t="str">
        <f>IF('📦 Subscriptions'!$B11="","",'📦 Subscriptions'!$B11)</f>
        <v>&lt;/&gt; GitHub Copilot</v>
      </c>
      <c r="C30" s="5">
        <f>IF('📦 Subscriptions'!$B11="","",'📦 Subscriptions'!$I11)</f>
        <v>46198</v>
      </c>
      <c r="D30" s="71">
        <f>IF('📦 Subscriptions'!$B11="","",'📦 Subscriptions'!$I11-'⚙️ Settings'!$C$7)</f>
        <v>31</v>
      </c>
      <c r="E30" s="8">
        <f>IF('📦 Subscriptions'!$B11="","",'📦 Subscriptions'!$G11)</f>
        <v>10</v>
      </c>
      <c r="F30" s="70" t="str">
        <f>IF('📦 Subscriptions'!$B11="","",'📦 Subscriptions'!$K11)</f>
        <v>Yes</v>
      </c>
      <c r="G30" s="1"/>
      <c r="H30" s="81" t="s">
        <v>153</v>
      </c>
      <c r="I30" s="77" t="s">
        <v>126</v>
      </c>
      <c r="J30" s="77" t="s">
        <v>128</v>
      </c>
      <c r="K30" s="80" t="s">
        <v>154</v>
      </c>
      <c r="L30" s="77" t="s">
        <v>130</v>
      </c>
      <c r="M30" s="78" t="s">
        <v>131</v>
      </c>
      <c r="N30" s="82" t="s">
        <v>155</v>
      </c>
      <c r="O30" s="1"/>
      <c r="P30" s="84" t="str">
        <f>TEXT(EDATE(DATE(YEAR('⚙️ Settings'!$C$7),MONTH('⚙️ Settings'!$C$7),1),5),"mmm")</f>
        <v>Oct</v>
      </c>
      <c r="Q30" s="84">
        <f>COUNTIFS('📦 Subscriptions'!$J$6:$J$205,"Active",'📦 Subscriptions'!$I$6:$I$205,"&gt;="&amp;EDATE(DATE(YEAR('⚙️ Settings'!$C$7),MONTH('⚙️ Settings'!$C$7),1),5),'📦 Subscriptions'!$I$6:$I$205,"&lt;"&amp;EDATE(EDATE(DATE(YEAR('⚙️ Settings'!$C$7),MONTH('⚙️ Settings'!$C$7),1),5),1))</f>
        <v>0</v>
      </c>
      <c r="R30" s="8">
        <f>SUMIFS('📦 Subscriptions'!$G$6:$G$205,'📦 Subscriptions'!$J$6:$J$205,"Active",'📦 Subscriptions'!$I$6:$I$205,"&gt;="&amp;EDATE(DATE(YEAR('⚙️ Settings'!$C$7),MONTH('⚙️ Settings'!$C$7),1),5),'📦 Subscriptions'!$I$6:$I$205,"&lt;"&amp;EDATE(EDATE(DATE(YEAR('⚙️ Settings'!$C$7),MONTH('⚙️ Settings'!$C$7),1),5),1))</f>
        <v>0</v>
      </c>
      <c r="S30" s="6">
        <f>MIN(1,IFERROR(Q30/COUNTIFS('📦 Subscriptions'!$J$6:$J$205,"Active"),0))</f>
        <v>0</v>
      </c>
      <c r="T30" s="84" t="str">
        <f t="shared" si="1"/>
        <v>Stable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>
      <c r="A31" s="1"/>
      <c r="B31" s="84" t="str">
        <f>IF('📦 Subscriptions'!$B12="","",'📦 Subscriptions'!$B12)</f>
        <v>🎬 Netflix</v>
      </c>
      <c r="C31" s="5">
        <f>IF('📦 Subscriptions'!$B12="","",'📦 Subscriptions'!$I12)</f>
        <v>46202</v>
      </c>
      <c r="D31" s="71">
        <f>IF('📦 Subscriptions'!$B12="","",'📦 Subscriptions'!$I12-'⚙️ Settings'!$C$7)</f>
        <v>35</v>
      </c>
      <c r="E31" s="8">
        <f>IF('📦 Subscriptions'!$B12="","",'📦 Subscriptions'!$G12)</f>
        <v>15.49</v>
      </c>
      <c r="F31" s="70" t="str">
        <f>IF('📦 Subscriptions'!$B12="","",'📦 Subscriptions'!$K12)</f>
        <v>Yes</v>
      </c>
      <c r="G31" s="1"/>
      <c r="H31" s="1"/>
      <c r="I31" s="1"/>
      <c r="J31" s="1"/>
      <c r="K31" s="1"/>
      <c r="L31" s="1"/>
      <c r="M31" s="1"/>
      <c r="N31" s="1"/>
      <c r="O31" s="1"/>
      <c r="P31" s="84" t="str">
        <f>TEXT(EDATE(DATE(YEAR('⚙️ Settings'!$C$7),MONTH('⚙️ Settings'!$C$7),1),6),"mmm")</f>
        <v>Nov</v>
      </c>
      <c r="Q31" s="84">
        <f>COUNTIFS('📦 Subscriptions'!$J$6:$J$205,"Active",'📦 Subscriptions'!$I$6:$I$205,"&gt;="&amp;EDATE(DATE(YEAR('⚙️ Settings'!$C$7),MONTH('⚙️ Settings'!$C$7),1),6),'📦 Subscriptions'!$I$6:$I$205,"&lt;"&amp;EDATE(EDATE(DATE(YEAR('⚙️ Settings'!$C$7),MONTH('⚙️ Settings'!$C$7),1),6),1))</f>
        <v>0</v>
      </c>
      <c r="R31" s="8">
        <f>SUMIFS('📦 Subscriptions'!$G$6:$G$205,'📦 Subscriptions'!$J$6:$J$205,"Active",'📦 Subscriptions'!$I$6:$I$205,"&gt;="&amp;EDATE(DATE(YEAR('⚙️ Settings'!$C$7),MONTH('⚙️ Settings'!$C$7),1),6),'📦 Subscriptions'!$I$6:$I$205,"&lt;"&amp;EDATE(EDATE(DATE(YEAR('⚙️ Settings'!$C$7),MONTH('⚙️ Settings'!$C$7),1),6),1))</f>
        <v>0</v>
      </c>
      <c r="S31" s="6">
        <f>MIN(1,IFERROR(Q31/COUNTIFS('📦 Subscriptions'!$J$6:$J$205,"Active"),0))</f>
        <v>0</v>
      </c>
      <c r="T31" s="84" t="str">
        <f t="shared" si="1"/>
        <v>Stable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>
      <c r="A32" s="1"/>
      <c r="B32" s="84" t="str">
        <f>IF('📦 Subscriptions'!$B13="","",'📦 Subscriptions'!$B13)</f>
        <v>🎧 Spotify</v>
      </c>
      <c r="C32" s="5">
        <f>IF('📦 Subscriptions'!$B13="","",'📦 Subscriptions'!$I13)</f>
        <v>46205</v>
      </c>
      <c r="D32" s="71">
        <f>IF('📦 Subscriptions'!$B13="","",'📦 Subscriptions'!$I13-'⚙️ Settings'!$C$7)</f>
        <v>38</v>
      </c>
      <c r="E32" s="8">
        <f>IF('📦 Subscriptions'!$B13="","",'📦 Subscriptions'!$G13)</f>
        <v>10.99</v>
      </c>
      <c r="F32" s="70" t="str">
        <f>IF('📦 Subscriptions'!$B13="","",'📦 Subscriptions'!$K13)</f>
        <v>Yes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>
      <c r="A33" s="1"/>
      <c r="B33" s="84" t="str">
        <f>IF('📦 Subscriptions'!$B14="","",'📦 Subscriptions'!$B14)</f>
        <v>☁️ iCloud+</v>
      </c>
      <c r="C33" s="5">
        <f>IF('📦 Subscriptions'!$B14="","",'📦 Subscriptions'!$I14)</f>
        <v>46208</v>
      </c>
      <c r="D33" s="71">
        <f>IF('📦 Subscriptions'!$B14="","",'📦 Subscriptions'!$I14-'⚙️ Settings'!$C$7)</f>
        <v>41</v>
      </c>
      <c r="E33" s="8">
        <f>IF('📦 Subscriptions'!$B14="","",'📦 Subscriptions'!$G14)</f>
        <v>2.99</v>
      </c>
      <c r="F33" s="70" t="str">
        <f>IF('📦 Subscriptions'!$B14="","",'📦 Subscriptions'!$K14)</f>
        <v>Yes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>
      <c r="A34" s="1"/>
      <c r="B34" s="84" t="str">
        <f>IF('📦 Subscriptions'!$B15="","",'📦 Subscriptions'!$B15)</f>
        <v>🔐 NordVPN</v>
      </c>
      <c r="C34" s="5">
        <f>IF('📦 Subscriptions'!$B15="","",'📦 Subscriptions'!$I15)</f>
        <v>46248</v>
      </c>
      <c r="D34" s="71">
        <f>IF('📦 Subscriptions'!$B15="","",'📦 Subscriptions'!$I15-'⚙️ Settings'!$C$7)</f>
        <v>81</v>
      </c>
      <c r="E34" s="8">
        <f>IF('📦 Subscriptions'!$B15="","",'📦 Subscriptions'!$G15)</f>
        <v>5.9899999999999993</v>
      </c>
      <c r="F34" s="70" t="str">
        <f>IF('📦 Subscriptions'!$B15="","",'📦 Subscriptions'!$K15)</f>
        <v>Yes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>
      <c r="A35" s="1"/>
      <c r="B35" s="84" t="str">
        <f>IF('📦 Subscriptions'!$B16="","",'📦 Subscriptions'!$B16)</f>
        <v>🎓 Skillshare</v>
      </c>
      <c r="C35" s="5">
        <f>IF('📦 Subscriptions'!$B16="","",'📦 Subscriptions'!$I16)</f>
        <v>46266</v>
      </c>
      <c r="D35" s="71">
        <f>IF('📦 Subscriptions'!$B16="","",'📦 Subscriptions'!$I16-'⚙️ Settings'!$C$7)</f>
        <v>99</v>
      </c>
      <c r="E35" s="8">
        <f>IF('📦 Subscriptions'!$B16="","",'📦 Subscriptions'!$G16)</f>
        <v>15.14</v>
      </c>
      <c r="F35" s="70" t="str">
        <f>IF('📦 Subscriptions'!$B16="","",'📦 Subscriptions'!$K16)</f>
        <v>No</v>
      </c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>
      <c r="A36" s="1"/>
      <c r="B36" s="84" t="str">
        <f>IF('📦 Subscriptions'!$B17="","",'📦 Subscriptions'!$B17)</f>
        <v/>
      </c>
      <c r="C36" s="5" t="str">
        <f>IF('📦 Subscriptions'!$B17="","",'📦 Subscriptions'!$I17)</f>
        <v/>
      </c>
      <c r="D36" s="71" t="str">
        <f>IF('📦 Subscriptions'!$B17="","",'📦 Subscriptions'!$I17-'⚙️ Settings'!$C$7)</f>
        <v/>
      </c>
      <c r="E36" s="8" t="str">
        <f>IF('📦 Subscriptions'!$B17="","",'📦 Subscriptions'!$G17)</f>
        <v/>
      </c>
      <c r="F36" s="70" t="str">
        <f>IF('📦 Subscriptions'!$B17="","",'📦 Subscriptions'!$K17)</f>
        <v/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1:37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1:37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1:37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1:37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1:3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1:37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spans="1:37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spans="1:37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spans="1:37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spans="1:37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spans="1:37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spans="1:37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spans="1:37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spans="1:37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spans="1:3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spans="1:37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spans="1:37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spans="1:37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</sheetData>
  <mergeCells count="6">
    <mergeCell ref="B2:T2"/>
    <mergeCell ref="B3:T3"/>
    <mergeCell ref="B5:T5"/>
    <mergeCell ref="B22:F22"/>
    <mergeCell ref="H22:N22"/>
    <mergeCell ref="P22:T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K70"/>
  <sheetViews>
    <sheetView showGridLines="0" workbookViewId="0"/>
  </sheetViews>
  <sheetFormatPr defaultRowHeight="13.9"/>
  <cols>
    <col min="1" max="1" width="3" customWidth="1"/>
    <col min="2" max="2" width="23.75" customWidth="1"/>
    <col min="3" max="5" width="15.75" customWidth="1"/>
    <col min="6" max="6" width="4.5" customWidth="1"/>
    <col min="7" max="7" width="23.75" customWidth="1"/>
    <col min="8" max="11" width="15.75" customWidth="1"/>
    <col min="12" max="12" width="3.75" customWidth="1"/>
  </cols>
  <sheetData>
    <row r="1" spans="1:37" ht="13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</row>
    <row r="2" spans="1:37" ht="25.5" customHeight="1">
      <c r="A2" s="1"/>
      <c r="B2" s="109" t="s">
        <v>41</v>
      </c>
      <c r="C2" s="109" t="s">
        <v>41</v>
      </c>
      <c r="D2" s="109" t="s">
        <v>41</v>
      </c>
      <c r="E2" s="109" t="s">
        <v>41</v>
      </c>
      <c r="F2" s="109" t="s">
        <v>41</v>
      </c>
      <c r="G2" s="109" t="s">
        <v>41</v>
      </c>
      <c r="H2" s="109" t="s">
        <v>41</v>
      </c>
      <c r="I2" s="109" t="s">
        <v>41</v>
      </c>
      <c r="J2" s="109" t="s">
        <v>41</v>
      </c>
      <c r="K2" s="109" t="s">
        <v>41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</row>
    <row r="3" spans="1:37" ht="18" customHeight="1">
      <c r="A3" s="1"/>
      <c r="B3" s="110" t="s">
        <v>156</v>
      </c>
      <c r="C3" s="110" t="s">
        <v>156</v>
      </c>
      <c r="D3" s="110" t="s">
        <v>156</v>
      </c>
      <c r="E3" s="110" t="s">
        <v>156</v>
      </c>
      <c r="F3" s="110" t="s">
        <v>156</v>
      </c>
      <c r="G3" s="110" t="s">
        <v>156</v>
      </c>
      <c r="H3" s="110" t="s">
        <v>156</v>
      </c>
      <c r="I3" s="110" t="s">
        <v>156</v>
      </c>
      <c r="J3" s="110" t="s">
        <v>156</v>
      </c>
      <c r="K3" s="110" t="s">
        <v>156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</row>
    <row r="4" spans="1:37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</row>
    <row r="5" spans="1:37" ht="21" customHeight="1">
      <c r="A5" s="1"/>
      <c r="B5" s="100" t="s">
        <v>157</v>
      </c>
      <c r="C5" s="100" t="s">
        <v>157</v>
      </c>
      <c r="D5" s="100" t="s">
        <v>157</v>
      </c>
      <c r="E5" s="1"/>
      <c r="F5" s="100" t="s">
        <v>158</v>
      </c>
      <c r="G5" s="100" t="s">
        <v>158</v>
      </c>
      <c r="H5" s="100" t="s">
        <v>158</v>
      </c>
      <c r="I5" s="1"/>
      <c r="J5" s="100" t="s">
        <v>159</v>
      </c>
      <c r="K5" s="100" t="s">
        <v>159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</row>
    <row r="6" spans="1:37">
      <c r="A6" s="1"/>
      <c r="B6" s="113" t="e">
        <f>SUM(D15:D19,D26:D29)*12+SUM(K15:K19,K26:K29)</f>
        <v>#N/A</v>
      </c>
      <c r="C6" s="113"/>
      <c r="D6" s="113"/>
      <c r="E6" s="1"/>
      <c r="F6" s="115">
        <v>21</v>
      </c>
      <c r="G6" s="115"/>
      <c r="H6" s="115"/>
      <c r="I6" s="1"/>
      <c r="J6" s="116" t="e">
        <f>MAX(0,MIN(1,1-$B$6/(SUMIFS('📦 Subscriptions'!$G$6:$G$205,'📦 Subscriptions'!$J$6:$J$205,"Active")*12+$B$6)))</f>
        <v>#N/A</v>
      </c>
      <c r="K6" s="116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</row>
    <row r="7" spans="1:37">
      <c r="A7" s="1"/>
      <c r="B7" s="113"/>
      <c r="C7" s="113"/>
      <c r="D7" s="113"/>
      <c r="E7" s="1"/>
      <c r="F7" s="115"/>
      <c r="G7" s="115"/>
      <c r="H7" s="115"/>
      <c r="I7" s="1"/>
      <c r="J7" s="116"/>
      <c r="K7" s="116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</row>
    <row r="8" spans="1:37">
      <c r="A8" s="1"/>
      <c r="B8" s="113"/>
      <c r="C8" s="113"/>
      <c r="D8" s="113"/>
      <c r="E8" s="1"/>
      <c r="F8" s="115"/>
      <c r="G8" s="115"/>
      <c r="H8" s="115"/>
      <c r="I8" s="1"/>
      <c r="J8" s="116"/>
      <c r="K8" s="116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>
      <c r="A9" s="1"/>
      <c r="B9" s="114" t="s">
        <v>160</v>
      </c>
      <c r="C9" s="114" t="s">
        <v>160</v>
      </c>
      <c r="D9" s="114" t="s">
        <v>160</v>
      </c>
      <c r="E9" s="1"/>
      <c r="F9" s="114" t="s">
        <v>161</v>
      </c>
      <c r="G9" s="114" t="s">
        <v>161</v>
      </c>
      <c r="H9" s="114" t="s">
        <v>161</v>
      </c>
      <c r="I9" s="1"/>
      <c r="J9" s="117" t="e">
        <f>REPT("●",ROUND(J6*10,0))&amp;REPT("○",10-ROUND(J6*10,0))</f>
        <v>#N/A</v>
      </c>
      <c r="K9" s="117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21" customHeight="1">
      <c r="A12" s="1"/>
      <c r="B12" s="111" t="s">
        <v>162</v>
      </c>
      <c r="C12" s="111" t="s">
        <v>162</v>
      </c>
      <c r="D12" s="111" t="s">
        <v>162</v>
      </c>
      <c r="E12" s="111" t="s">
        <v>162</v>
      </c>
      <c r="F12" s="1"/>
      <c r="G12" s="111" t="s">
        <v>163</v>
      </c>
      <c r="H12" s="111" t="s">
        <v>163</v>
      </c>
      <c r="I12" s="111" t="s">
        <v>163</v>
      </c>
      <c r="J12" s="111" t="s">
        <v>163</v>
      </c>
      <c r="K12" s="111" t="s">
        <v>163</v>
      </c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>
      <c r="A14" s="1"/>
      <c r="B14" s="4" t="s">
        <v>49</v>
      </c>
      <c r="C14" s="4" t="s">
        <v>120</v>
      </c>
      <c r="D14" s="4" t="s">
        <v>164</v>
      </c>
      <c r="E14" s="4" t="s">
        <v>165</v>
      </c>
      <c r="F14" s="1"/>
      <c r="G14" s="4" t="s">
        <v>49</v>
      </c>
      <c r="H14" s="4" t="s">
        <v>59</v>
      </c>
      <c r="I14" s="4" t="s">
        <v>60</v>
      </c>
      <c r="J14" s="4" t="s">
        <v>164</v>
      </c>
      <c r="K14" s="4" t="s">
        <v>166</v>
      </c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26.45">
      <c r="A15" s="1"/>
      <c r="B15" s="84" t="s">
        <v>63</v>
      </c>
      <c r="C15" s="84" t="str">
        <f>IF($B15 = "", "", _xlfn.SINGLE(_xlfn.XLOOKUP($B15, '📦 Subscriptions'!$B$6:$B$205, '📦 Subscriptions'!$C$6:$C$205)) &amp; " overlap")</f>
        <v>Software overlap</v>
      </c>
      <c r="D15" s="8">
        <f>_xlfn.SINGLE(IF($B15 = "", "", IF(OR(_xlfn.SINGLE(_xlfn.XLOOKUP($B15, '📦 Subscriptions'!$B$6:$B$205, '📦 Subscriptions'!$N$6:$N$205)) = "Cancel", _xlfn.SINGLE(_xlfn.XLOOKUP($B15, '📦 Subscriptions'!$B$6:$B$205, '📦 Subscriptions'!$N$6:$N$205)) = "Review"), _xlfn.XLOOKUP($B15, '📦 Subscriptions'!$B$6:$B$205, '📦 Subscriptions'!$G$6:$G$205), 0)))</f>
        <v>59.99</v>
      </c>
      <c r="E15" s="84" t="str">
        <f>IF($B15="","",IF($D15&gt;0,"Review duplicate stack","Keep if high utilization"))</f>
        <v>Review duplicate stack</v>
      </c>
      <c r="F15" s="1"/>
      <c r="G15" s="84" t="s">
        <v>79</v>
      </c>
      <c r="H15" s="5">
        <f>_xlfn.SINGLE(IF($G15 = "", "", _xlfn.XLOOKUP($G15, '📦 Subscriptions'!$B$6:$B$205, '📦 Subscriptions'!$L$6:$L$205)))</f>
        <v>46160</v>
      </c>
      <c r="I15" s="6">
        <f>_xlfn.SINGLE(IF($G15 = "", "", _xlfn.XLOOKUP($G15, '📦 Subscriptions'!$B$6:$B$205, '📦 Subscriptions'!$M$6:$M$205)))</f>
        <v>0.52</v>
      </c>
      <c r="J15" s="8">
        <f>_xlfn.SINGLE(IF($G15 = "", "", _xlfn.XLOOKUP($G15, '📦 Subscriptions'!$B$6:$B$205, '📦 Subscriptions'!$G$6:$G$205)))</f>
        <v>11.989999999999998</v>
      </c>
      <c r="K15" s="8">
        <f>IF(J15="","",J15*12)</f>
        <v>143.88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26.45">
      <c r="A16" s="1"/>
      <c r="B16" s="84" t="s">
        <v>70</v>
      </c>
      <c r="C16" s="84" t="str">
        <f>IF($B16 = "", "", _xlfn.SINGLE(_xlfn.XLOOKUP($B16, '📦 Subscriptions'!$B$6:$B$205, '📦 Subscriptions'!$C$6:$C$205)) &amp; " overlap")</f>
        <v>Software overlap</v>
      </c>
      <c r="D16" s="8">
        <f>_xlfn.SINGLE(IF($B16 = "", "", IF(OR(_xlfn.SINGLE(_xlfn.XLOOKUP($B16, '📦 Subscriptions'!$B$6:$B$205, '📦 Subscriptions'!$N$6:$N$205)) = "Cancel", _xlfn.SINGLE(_xlfn.XLOOKUP($B16, '📦 Subscriptions'!$B$6:$B$205, '📦 Subscriptions'!$N$6:$N$205)) = "Review"), _xlfn.XLOOKUP($B16, '📦 Subscriptions'!$B$6:$B$205, '📦 Subscriptions'!$G$6:$G$205), 0)))</f>
        <v>0</v>
      </c>
      <c r="E16" s="84" t="str">
        <f>IF($B16="","",IF($D16&gt;0,"Review duplicate stack","Keep if high utilization"))</f>
        <v>Keep if high utilization</v>
      </c>
      <c r="F16" s="1"/>
      <c r="G16" s="84" t="s">
        <v>86</v>
      </c>
      <c r="H16" s="5">
        <f>_xlfn.SINGLE(IF($G16 = "", "", _xlfn.XLOOKUP($G16, '📦 Subscriptions'!$B$6:$B$205, '📦 Subscriptions'!$L$6:$L$205)))</f>
        <v>46152</v>
      </c>
      <c r="I16" s="6">
        <f>_xlfn.SINGLE(IF($G16 = "", "", _xlfn.XLOOKUP($G16, '📦 Subscriptions'!$B$6:$B$205, '📦 Subscriptions'!$M$6:$M$205)))</f>
        <v>0.48</v>
      </c>
      <c r="J16" s="8">
        <f>_xlfn.SINGLE(IF($G16 = "", "", _xlfn.XLOOKUP($G16, '📦 Subscriptions'!$B$6:$B$205, '📦 Subscriptions'!$G$6:$G$205)))</f>
        <v>15.49</v>
      </c>
      <c r="K16" s="8">
        <f>IF(J16="","",J16*12)</f>
        <v>185.88</v>
      </c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26.45">
      <c r="A17" s="1"/>
      <c r="B17" s="84" t="s">
        <v>73</v>
      </c>
      <c r="C17" s="84" t="str">
        <f>IF($B17 = "", "", _xlfn.SINGLE(_xlfn.XLOOKUP($B17, '📦 Subscriptions'!$B$6:$B$205, '📦 Subscriptions'!$C$6:$C$205)) &amp; " overlap")</f>
        <v>Productivity overlap</v>
      </c>
      <c r="D17" s="8">
        <f>_xlfn.SINGLE(IF($B17 = "", "", IF(OR(_xlfn.SINGLE(_xlfn.XLOOKUP($B17, '📦 Subscriptions'!$B$6:$B$205, '📦 Subscriptions'!$N$6:$N$205)) = "Cancel", _xlfn.SINGLE(_xlfn.XLOOKUP($B17, '📦 Subscriptions'!$B$6:$B$205, '📦 Subscriptions'!$N$6:$N$205)) = "Review"), _xlfn.XLOOKUP($B17, '📦 Subscriptions'!$B$6:$B$205, '📦 Subscriptions'!$G$6:$G$205), 0)))</f>
        <v>0</v>
      </c>
      <c r="E17" s="84" t="str">
        <f>IF($B17="","",IF($D17&gt;0,"Review duplicate stack","Keep if high utilization"))</f>
        <v>Keep if high utilization</v>
      </c>
      <c r="F17" s="1"/>
      <c r="G17" s="84" t="s">
        <v>93</v>
      </c>
      <c r="H17" s="5">
        <f>_xlfn.SINGLE(IF($G17 = "", "", _xlfn.XLOOKUP($G17, '📦 Subscriptions'!$B$6:$B$205, '📦 Subscriptions'!$L$6:$L$205)))</f>
        <v>46130</v>
      </c>
      <c r="I17" s="6">
        <f>_xlfn.SINGLE(IF($G17 = "", "", _xlfn.XLOOKUP($G17, '📦 Subscriptions'!$B$6:$B$205, '📦 Subscriptions'!$M$6:$M$205)))</f>
        <v>0.31</v>
      </c>
      <c r="J17" s="8">
        <f>_xlfn.SINGLE(IF($G17 = "", "", _xlfn.XLOOKUP($G17, '📦 Subscriptions'!$B$6:$B$205, '📦 Subscriptions'!$G$6:$G$205)))</f>
        <v>5.9899999999999993</v>
      </c>
      <c r="K17" s="8">
        <f>IF(J17="","",J17*12)</f>
        <v>71.88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26.45">
      <c r="A18" s="1"/>
      <c r="B18" s="84" t="s">
        <v>77</v>
      </c>
      <c r="C18" s="84" t="str">
        <f>IF($B18 = "", "", _xlfn.SINGLE(_xlfn.XLOOKUP($B18, '📦 Subscriptions'!$B$6:$B$205, '📦 Subscriptions'!$C$6:$C$205)) &amp; " overlap")</f>
        <v>Productivity overlap</v>
      </c>
      <c r="D18" s="8">
        <f>_xlfn.SINGLE(IF($B18 = "", "", IF(OR(_xlfn.SINGLE(_xlfn.XLOOKUP($B18, '📦 Subscriptions'!$B$6:$B$205, '📦 Subscriptions'!$N$6:$N$205)) = "Cancel", _xlfn.SINGLE(_xlfn.XLOOKUP($B18, '📦 Subscriptions'!$B$6:$B$205, '📦 Subscriptions'!$N$6:$N$205)) = "Review"), _xlfn.XLOOKUP($B18, '📦 Subscriptions'!$B$6:$B$205, '📦 Subscriptions'!$G$6:$G$205), 0)))</f>
        <v>0</v>
      </c>
      <c r="E18" s="84" t="str">
        <f>IF($B18="","",IF($D18&gt;0,"Review duplicate stack","Keep if high utilization"))</f>
        <v>Keep if high utilization</v>
      </c>
      <c r="F18" s="1"/>
      <c r="G18" s="84" t="s">
        <v>97</v>
      </c>
      <c r="H18" s="5">
        <f>_xlfn.SINGLE(IF($G18 = "", "", _xlfn.XLOOKUP($G18, '📦 Subscriptions'!$B$6:$B$205, '📦 Subscriptions'!$L$6:$L$205)))</f>
        <v>46109</v>
      </c>
      <c r="I18" s="6">
        <f>_xlfn.SINGLE(IF($G18 = "", "", _xlfn.XLOOKUP($G18, '📦 Subscriptions'!$B$6:$B$205, '📦 Subscriptions'!$M$6:$M$205)))</f>
        <v>0.18</v>
      </c>
      <c r="J18" s="8">
        <f>_xlfn.SINGLE(IF($G18 = "", "", _xlfn.XLOOKUP($G18, '📦 Subscriptions'!$B$6:$B$205, '📦 Subscriptions'!$G$6:$G$205)))</f>
        <v>15.14</v>
      </c>
      <c r="K18" s="8">
        <f>IF(J18="","",J18*12)</f>
        <v>181.68</v>
      </c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26.45">
      <c r="A19" s="1"/>
      <c r="B19" s="84" t="s">
        <v>79</v>
      </c>
      <c r="C19" s="84" t="str">
        <f>IF($B19 = "", "", _xlfn.SINGLE(_xlfn.XLOOKUP($B19, '📦 Subscriptions'!$B$6:$B$205, '📦 Subscriptions'!$C$6:$C$205)) &amp; " overlap")</f>
        <v>Cloud overlap</v>
      </c>
      <c r="D19" s="8">
        <f>_xlfn.SINGLE(IF($B19 = "", "", IF(OR(_xlfn.SINGLE(_xlfn.XLOOKUP($B19, '📦 Subscriptions'!$B$6:$B$205, '📦 Subscriptions'!$N$6:$N$205)) = "Cancel", _xlfn.SINGLE(_xlfn.XLOOKUP($B19, '📦 Subscriptions'!$B$6:$B$205, '📦 Subscriptions'!$N$6:$N$205)) = "Review"), _xlfn.XLOOKUP($B19, '📦 Subscriptions'!$B$6:$B$205, '📦 Subscriptions'!$G$6:$G$205), 0)))</f>
        <v>0</v>
      </c>
      <c r="E19" s="84" t="str">
        <f>IF($B19="","",IF($D19&gt;0,"Review duplicate stack","Keep if high utilization"))</f>
        <v>Keep if high utilization</v>
      </c>
      <c r="F19" s="1"/>
      <c r="G19" s="84" t="s">
        <v>167</v>
      </c>
      <c r="H19" s="5" t="e">
        <f>_xlfn.SINGLE(IF($G19 = "", "", _xlfn.XLOOKUP($G19, '📦 Subscriptions'!$B$6:$B$205, '📦 Subscriptions'!$L$6:$L$205)))</f>
        <v>#N/A</v>
      </c>
      <c r="I19" s="6" t="e">
        <f>_xlfn.SINGLE(IF($G19 = "", "", _xlfn.XLOOKUP($G19, '📦 Subscriptions'!$B$6:$B$205, '📦 Subscriptions'!$M$6:$M$205)))</f>
        <v>#N/A</v>
      </c>
      <c r="J19" s="8" t="e">
        <f>_xlfn.SINGLE(IF($G19 = "", "", _xlfn.XLOOKUP($G19, '📦 Subscriptions'!$B$6:$B$205, '📦 Subscriptions'!$G$6:$G$205)))</f>
        <v>#N/A</v>
      </c>
      <c r="K19" s="8" t="e">
        <f>IF(J19="","",J19*12)</f>
        <v>#N/A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21" customHeight="1">
      <c r="A23" s="1"/>
      <c r="B23" s="111" t="s">
        <v>168</v>
      </c>
      <c r="C23" s="111" t="s">
        <v>168</v>
      </c>
      <c r="D23" s="111" t="s">
        <v>168</v>
      </c>
      <c r="E23" s="111" t="s">
        <v>168</v>
      </c>
      <c r="F23" s="1"/>
      <c r="G23" s="111" t="s">
        <v>169</v>
      </c>
      <c r="H23" s="111" t="s">
        <v>169</v>
      </c>
      <c r="I23" s="111" t="s">
        <v>169</v>
      </c>
      <c r="J23" s="111" t="s">
        <v>169</v>
      </c>
      <c r="K23" s="111" t="s">
        <v>169</v>
      </c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>
      <c r="A25" s="1"/>
      <c r="B25" s="4" t="s">
        <v>49</v>
      </c>
      <c r="C25" s="4" t="s">
        <v>60</v>
      </c>
      <c r="D25" s="4" t="s">
        <v>164</v>
      </c>
      <c r="E25" s="4" t="s">
        <v>165</v>
      </c>
      <c r="F25" s="1"/>
      <c r="G25" s="4" t="s">
        <v>49</v>
      </c>
      <c r="H25" s="4" t="s">
        <v>170</v>
      </c>
      <c r="I25" s="4" t="s">
        <v>171</v>
      </c>
      <c r="J25" s="4" t="s">
        <v>172</v>
      </c>
      <c r="K25" s="4" t="s">
        <v>166</v>
      </c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>
      <c r="A26" s="1"/>
      <c r="B26" s="84" t="s">
        <v>73</v>
      </c>
      <c r="C26" s="6">
        <f>_xlfn.SINGLE(IF($B26 = "", "", _xlfn.XLOOKUP($B26, '📦 Subscriptions'!$B$6:$B$205, '📦 Subscriptions'!$M$6:$M$205)))</f>
        <v>0.67</v>
      </c>
      <c r="D26" s="8">
        <f>IF($B26 = "", "", ROUND(_xlfn.SINGLE(_xlfn.XLOOKUP($B26, '📦 Subscriptions'!$B$6:$B$205, '📦 Subscriptions'!$G$6:$G$205)) * IF(_xlfn.SINGLE(_xlfn.XLOOKUP($B26, '📦 Subscriptions'!$B$6:$B$205, '📦 Subscriptions'!$N$6:$N$205)) = "Switch to Annual", 0.2, 0.35), 2))</f>
        <v>4</v>
      </c>
      <c r="E26" s="84" t="str">
        <f>IF($B26 = "", "", IF(_xlfn.SINGLE(_xlfn.XLOOKUP($B26, '📦 Subscriptions'!$B$6:$B$205, '📦 Subscriptions'!$N$6:$N$205)) = "Switch to Annual", "Move annual / seats audit", "Review lower tier"))</f>
        <v>Move annual / seats audit</v>
      </c>
      <c r="F26" s="1"/>
      <c r="G26" s="84" t="s">
        <v>63</v>
      </c>
      <c r="H26" s="8">
        <f>_xlfn.SINGLE(IF($G26 = "", "", _xlfn.XLOOKUP($G26, '🗃️ Database'!$B$17:$B$28, '🗃️ Database'!$C$17:$C$28)))</f>
        <v>54.99</v>
      </c>
      <c r="I26" s="8">
        <f>_xlfn.SINGLE(IF($G26 = "", "", _xlfn.XLOOKUP($G26, '🗃️ Database'!$B$17:$B$28, '🗃️ Database'!$D$17:$D$28)))</f>
        <v>59.99</v>
      </c>
      <c r="J26" s="11">
        <f>IF(I26="","",I26/H26-1)</f>
        <v>9.0925622840516418E-2</v>
      </c>
      <c r="K26" s="9">
        <f>IF($G26="","",ROUND(($I26-$H26)*12,0))</f>
        <v>60</v>
      </c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>
      <c r="A27" s="1"/>
      <c r="B27" s="84" t="s">
        <v>79</v>
      </c>
      <c r="C27" s="6">
        <f>_xlfn.SINGLE(IF($B27 = "", "", _xlfn.XLOOKUP($B27, '📦 Subscriptions'!$B$6:$B$205, '📦 Subscriptions'!$M$6:$M$205)))</f>
        <v>0.52</v>
      </c>
      <c r="D27" s="8">
        <f>IF($B27 = "", "", ROUND(_xlfn.SINGLE(_xlfn.XLOOKUP($B27, '📦 Subscriptions'!$B$6:$B$205, '📦 Subscriptions'!$G$6:$G$205)) * IF(_xlfn.SINGLE(_xlfn.XLOOKUP($B27, '📦 Subscriptions'!$B$6:$B$205, '📦 Subscriptions'!$N$6:$N$205)) = "Switch to Annual", 0.2, 0.35), 2))</f>
        <v>4.2</v>
      </c>
      <c r="E27" s="84" t="str">
        <f>IF($B27 = "", "", IF(_xlfn.SINGLE(_xlfn.XLOOKUP($B27, '📦 Subscriptions'!$B$6:$B$205, '📦 Subscriptions'!$N$6:$N$205)) = "Switch to Annual", "Move annual / seats audit", "Review lower tier"))</f>
        <v>Review lower tier</v>
      </c>
      <c r="F27" s="1"/>
      <c r="G27" s="84" t="s">
        <v>79</v>
      </c>
      <c r="H27" s="8">
        <f>_xlfn.SINGLE(IF($G27 = "", "", _xlfn.XLOOKUP($G27, '🗃️ Database'!$B$17:$B$28, '🗃️ Database'!$C$17:$C$28)))</f>
        <v>9.99</v>
      </c>
      <c r="I27" s="8">
        <f>_xlfn.SINGLE(IF($G27 = "", "", _xlfn.XLOOKUP($G27, '🗃️ Database'!$B$17:$B$28, '🗃️ Database'!$D$17:$D$28)))</f>
        <v>11.989999999999998</v>
      </c>
      <c r="J27" s="11">
        <f>IF(I27="","",I27/H27-1)</f>
        <v>0.20020020020020013</v>
      </c>
      <c r="K27" s="9">
        <f>IF($G27="","",ROUND(($I27-$H27)*12,0))</f>
        <v>24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>
      <c r="A28" s="1"/>
      <c r="B28" s="84" t="s">
        <v>167</v>
      </c>
      <c r="C28" s="6" t="e">
        <f>_xlfn.SINGLE(IF($B28 = "", "", _xlfn.XLOOKUP($B28, '📦 Subscriptions'!$B$6:$B$205, '📦 Subscriptions'!$M$6:$M$205)))</f>
        <v>#N/A</v>
      </c>
      <c r="D28" s="8" t="e">
        <f>IF($B28 = "", "", ROUND(_xlfn.SINGLE(_xlfn.XLOOKUP($B28, '📦 Subscriptions'!$B$6:$B$205, '📦 Subscriptions'!$G$6:$G$205)) * IF(_xlfn.SINGLE(_xlfn.XLOOKUP($B28, '📦 Subscriptions'!$B$6:$B$205, '📦 Subscriptions'!$N$6:$N$205)) = "Switch to Annual", 0.2, 0.35), 2))</f>
        <v>#N/A</v>
      </c>
      <c r="E28" s="84" t="e">
        <f>IF($B28 = "", "", IF(_xlfn.SINGLE(_xlfn.XLOOKUP($B28, '📦 Subscriptions'!$B$6:$B$205, '📦 Subscriptions'!$N$6:$N$205)) = "Switch to Annual", "Move annual / seats audit", "Review lower tier"))</f>
        <v>#N/A</v>
      </c>
      <c r="F28" s="1"/>
      <c r="G28" s="84" t="s">
        <v>86</v>
      </c>
      <c r="H28" s="8">
        <f>_xlfn.SINGLE(IF($G28 = "", "", _xlfn.XLOOKUP($G28, '🗃️ Database'!$B$17:$B$28, '🗃️ Database'!$C$17:$C$28)))</f>
        <v>13.99</v>
      </c>
      <c r="I28" s="8">
        <f>_xlfn.SINGLE(IF($G28 = "", "", _xlfn.XLOOKUP($G28, '🗃️ Database'!$B$17:$B$28, '🗃️ Database'!$D$17:$D$28)))</f>
        <v>15.49</v>
      </c>
      <c r="J28" s="11">
        <f>IF(I28="","",I28/H28-1)</f>
        <v>0.10721944245889925</v>
      </c>
      <c r="K28" s="9">
        <f>IF($G28="","",ROUND(($I28-$H28)*12,0))</f>
        <v>18</v>
      </c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>
      <c r="A29" s="1"/>
      <c r="B29" s="84"/>
      <c r="C29" s="6" t="str">
        <f>_xlfn.SINGLE(IF($B29 = "", "", _xlfn.XLOOKUP($B29, '📦 Subscriptions'!$B$6:$B$205, '📦 Subscriptions'!$M$6:$M$205)))</f>
        <v/>
      </c>
      <c r="D29" s="8" t="str">
        <f>IF($B29 = "", "", ROUND(_xlfn.SINGLE(_xlfn.XLOOKUP($B29, '📦 Subscriptions'!$B$6:$B$205, '📦 Subscriptions'!$G$6:$G$205)) * IF(_xlfn.SINGLE(_xlfn.XLOOKUP($B29, '📦 Subscriptions'!$B$6:$B$205, '📦 Subscriptions'!$N$6:$N$205)) = "Switch to Annual", 0.2, 0.35), 2))</f>
        <v/>
      </c>
      <c r="E29" s="84" t="str">
        <f>IF($B29 = "", "", IF(_xlfn.SINGLE(_xlfn.XLOOKUP($B29, '📦 Subscriptions'!$B$6:$B$205, '📦 Subscriptions'!$N$6:$N$205)) = "Switch to Annual", "Move annual / seats audit", "Review lower tier"))</f>
        <v/>
      </c>
      <c r="F29" s="1"/>
      <c r="G29" s="84"/>
      <c r="H29" s="8" t="str">
        <f>_xlfn.SINGLE(IF($G29 = "", "", _xlfn.XLOOKUP($G29, '🗃️ Database'!$B$17:$B$28, '🗃️ Database'!$C$17:$C$28)))</f>
        <v/>
      </c>
      <c r="I29" s="8" t="str">
        <f>_xlfn.SINGLE(IF($G29 = "", "", _xlfn.XLOOKUP($G29, '🗃️ Database'!$B$17:$B$28, '🗃️ Database'!$D$17:$D$28)))</f>
        <v/>
      </c>
      <c r="J29" s="11" t="str">
        <f>IF(I29="","",I29/H29-1)</f>
        <v/>
      </c>
      <c r="K29" s="9" t="str">
        <f>IF($G29="","",ROUND(($I29-$H29)*12,0))</f>
        <v/>
      </c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1:37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1:37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1:37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1:37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1:3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1:37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spans="1:37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spans="1:37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spans="1:37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spans="1:37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spans="1:37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spans="1:37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spans="1:37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spans="1:37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spans="1:3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spans="1:37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spans="1:37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spans="1:37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</sheetData>
  <mergeCells count="15">
    <mergeCell ref="B12:E12"/>
    <mergeCell ref="G12:K12"/>
    <mergeCell ref="B23:E23"/>
    <mergeCell ref="G23:K23"/>
    <mergeCell ref="B2:K2"/>
    <mergeCell ref="B3:K3"/>
    <mergeCell ref="B5:D5"/>
    <mergeCell ref="B6:D8"/>
    <mergeCell ref="B9:D9"/>
    <mergeCell ref="F5:H5"/>
    <mergeCell ref="F6:H8"/>
    <mergeCell ref="F9:H9"/>
    <mergeCell ref="J5:K5"/>
    <mergeCell ref="J6:K8"/>
    <mergeCell ref="J9:K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K70"/>
  <sheetViews>
    <sheetView showGridLines="0" workbookViewId="0"/>
  </sheetViews>
  <sheetFormatPr defaultRowHeight="13.9"/>
  <cols>
    <col min="1" max="1" width="3" customWidth="1"/>
    <col min="2" max="2" width="21.25" customWidth="1"/>
    <col min="3" max="4" width="15" customWidth="1"/>
    <col min="5" max="5" width="3" customWidth="1"/>
    <col min="6" max="11" width="13.75" customWidth="1"/>
    <col min="12" max="12" width="3" customWidth="1"/>
    <col min="13" max="13" width="20" customWidth="1"/>
    <col min="14" max="17" width="15" customWidth="1"/>
  </cols>
  <sheetData>
    <row r="1" spans="1:37" ht="13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</row>
    <row r="2" spans="1:37" ht="25.5" customHeight="1">
      <c r="A2" s="1"/>
      <c r="B2" s="109" t="s">
        <v>173</v>
      </c>
      <c r="C2" s="109" t="s">
        <v>173</v>
      </c>
      <c r="D2" s="109" t="s">
        <v>173</v>
      </c>
      <c r="E2" s="109" t="s">
        <v>173</v>
      </c>
      <c r="F2" s="109" t="s">
        <v>173</v>
      </c>
      <c r="G2" s="109" t="s">
        <v>173</v>
      </c>
      <c r="H2" s="109" t="s">
        <v>173</v>
      </c>
      <c r="I2" s="109" t="s">
        <v>173</v>
      </c>
      <c r="J2" s="109" t="s">
        <v>173</v>
      </c>
      <c r="K2" s="109" t="s">
        <v>173</v>
      </c>
      <c r="L2" s="109" t="s">
        <v>173</v>
      </c>
      <c r="M2" s="109" t="s">
        <v>173</v>
      </c>
      <c r="N2" s="109" t="s">
        <v>173</v>
      </c>
      <c r="O2" s="109" t="s">
        <v>173</v>
      </c>
      <c r="P2" s="109" t="s">
        <v>173</v>
      </c>
      <c r="Q2" s="109" t="s">
        <v>173</v>
      </c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</row>
    <row r="3" spans="1:37" ht="18" customHeight="1">
      <c r="A3" s="1"/>
      <c r="B3" s="110" t="s">
        <v>174</v>
      </c>
      <c r="C3" s="110" t="s">
        <v>174</v>
      </c>
      <c r="D3" s="110" t="s">
        <v>174</v>
      </c>
      <c r="E3" s="110" t="s">
        <v>174</v>
      </c>
      <c r="F3" s="110" t="s">
        <v>174</v>
      </c>
      <c r="G3" s="110" t="s">
        <v>174</v>
      </c>
      <c r="H3" s="110" t="s">
        <v>174</v>
      </c>
      <c r="I3" s="110" t="s">
        <v>174</v>
      </c>
      <c r="J3" s="110" t="s">
        <v>174</v>
      </c>
      <c r="K3" s="110" t="s">
        <v>174</v>
      </c>
      <c r="L3" s="110" t="s">
        <v>174</v>
      </c>
      <c r="M3" s="110" t="s">
        <v>174</v>
      </c>
      <c r="N3" s="110" t="s">
        <v>174</v>
      </c>
      <c r="O3" s="110" t="s">
        <v>174</v>
      </c>
      <c r="P3" s="110" t="s">
        <v>174</v>
      </c>
      <c r="Q3" s="110" t="s">
        <v>174</v>
      </c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</row>
    <row r="4" spans="1:37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</row>
    <row r="5" spans="1:37" ht="21" customHeight="1">
      <c r="A5" s="1"/>
      <c r="B5" s="111" t="s">
        <v>175</v>
      </c>
      <c r="C5" s="111" t="s">
        <v>175</v>
      </c>
      <c r="D5" s="1"/>
      <c r="E5" s="1"/>
      <c r="F5" s="1"/>
      <c r="G5" s="1"/>
      <c r="H5" s="1"/>
      <c r="I5" s="1"/>
      <c r="J5" s="1"/>
      <c r="K5" s="1"/>
      <c r="L5" s="1"/>
      <c r="M5" s="1"/>
      <c r="N5" s="111" t="s">
        <v>176</v>
      </c>
      <c r="O5" s="111" t="s">
        <v>176</v>
      </c>
      <c r="P5" s="111" t="s">
        <v>176</v>
      </c>
      <c r="Q5" s="111" t="s">
        <v>176</v>
      </c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</row>
    <row r="6" spans="1:37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</row>
    <row r="7" spans="1:37">
      <c r="A7" s="1"/>
      <c r="B7" s="4" t="s">
        <v>50</v>
      </c>
      <c r="C7" s="4" t="s">
        <v>54</v>
      </c>
      <c r="D7" s="1"/>
      <c r="E7" s="1"/>
      <c r="F7" s="1"/>
      <c r="G7" s="1"/>
      <c r="H7" s="1"/>
      <c r="I7" s="1"/>
      <c r="J7" s="1"/>
      <c r="K7" s="1"/>
      <c r="L7" s="1"/>
      <c r="M7" s="1"/>
      <c r="N7" s="4" t="s">
        <v>23</v>
      </c>
      <c r="O7" s="4" t="s">
        <v>177</v>
      </c>
      <c r="P7" s="4" t="s">
        <v>178</v>
      </c>
      <c r="Q7" s="4" t="s">
        <v>120</v>
      </c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</row>
    <row r="8" spans="1:37">
      <c r="A8" s="1"/>
      <c r="B8" s="84" t="s">
        <v>64</v>
      </c>
      <c r="C8" s="8">
        <f>SUMIFS('📦 Subscriptions'!$G$6:$G$205,'📦 Subscriptions'!$C$6:$C$205,$B8,'📦 Subscriptions'!$J$6:$J$205,"Active")</f>
        <v>89.990000000000009</v>
      </c>
      <c r="D8" s="1"/>
      <c r="E8" s="1"/>
      <c r="F8" s="1"/>
      <c r="G8" s="1"/>
      <c r="H8" s="1"/>
      <c r="I8" s="1"/>
      <c r="J8" s="1"/>
      <c r="K8" s="1"/>
      <c r="L8" s="1"/>
      <c r="M8" s="1"/>
      <c r="N8" s="84" t="s">
        <v>179</v>
      </c>
      <c r="O8" s="9">
        <f>SUMIFS('📦 Subscriptions'!$G$6:$G$205,'📦 Subscriptions'!$J$6:$J$205,"Active")</f>
        <v>182.58000000000004</v>
      </c>
      <c r="P8" s="84" t="s">
        <v>180</v>
      </c>
      <c r="Q8" s="84" t="s">
        <v>181</v>
      </c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>
      <c r="A9" s="1"/>
      <c r="B9" s="84" t="s">
        <v>87</v>
      </c>
      <c r="C9" s="8">
        <f>SUMIFS('📦 Subscriptions'!$G$6:$G$205,'📦 Subscriptions'!$C$6:$C$205,$B9,'📦 Subscriptions'!$J$6:$J$205,"Active")</f>
        <v>26.48</v>
      </c>
      <c r="D9" s="1"/>
      <c r="E9" s="1"/>
      <c r="F9" s="1"/>
      <c r="G9" s="1"/>
      <c r="H9" s="1"/>
      <c r="I9" s="1"/>
      <c r="J9" s="1"/>
      <c r="K9" s="1"/>
      <c r="L9" s="1"/>
      <c r="M9" s="1"/>
      <c r="N9" s="84" t="s">
        <v>182</v>
      </c>
      <c r="O9" s="9">
        <f>O8*12</f>
        <v>2190.9600000000005</v>
      </c>
      <c r="P9" s="84" t="s">
        <v>183</v>
      </c>
      <c r="Q9" s="84" t="s">
        <v>184</v>
      </c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>
      <c r="A10" s="1"/>
      <c r="B10" s="84" t="s">
        <v>80</v>
      </c>
      <c r="C10" s="8">
        <f>SUMIFS('📦 Subscriptions'!$G$6:$G$205,'📦 Subscriptions'!$C$6:$C$205,$B10,'📦 Subscriptions'!$J$6:$J$205,"Active")</f>
        <v>14.979999999999999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84" t="s">
        <v>185</v>
      </c>
      <c r="O10" s="9">
        <f>AVERAGEIF('📦 Subscriptions'!$J$6:$J$205,"Active",'📦 Subscriptions'!$G$6:$G$205)</f>
        <v>16.598181818181821</v>
      </c>
      <c r="P10" s="84" t="s">
        <v>186</v>
      </c>
      <c r="Q10" s="84" t="s">
        <v>44</v>
      </c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>
      <c r="A11" s="1"/>
      <c r="B11" s="84" t="s">
        <v>74</v>
      </c>
      <c r="C11" s="8">
        <f>SUMIFS('📦 Subscriptions'!$G$6:$G$205,'📦 Subscriptions'!$C$6:$C$205,$B11,'📦 Subscriptions'!$J$6:$J$205,"Active")</f>
        <v>30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84" t="s">
        <v>187</v>
      </c>
      <c r="O11" s="9">
        <v>2616</v>
      </c>
      <c r="P11" s="84" t="s">
        <v>188</v>
      </c>
      <c r="Q11" s="84" t="s">
        <v>46</v>
      </c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>
      <c r="A12" s="1"/>
      <c r="B12" s="84" t="s">
        <v>94</v>
      </c>
      <c r="C12" s="8">
        <f>SUMIFS('📦 Subscriptions'!$G$6:$G$205,'📦 Subscriptions'!$C$6:$C$205,$B12,'📦 Subscriptions'!$J$6:$J$205,"Active")</f>
        <v>5.9899999999999993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84" t="s">
        <v>189</v>
      </c>
      <c r="O12" s="9" t="e">
        <f>'💡 Optimization'!$B$6</f>
        <v>#N/A</v>
      </c>
      <c r="P12" s="84" t="s">
        <v>190</v>
      </c>
      <c r="Q12" s="84" t="s">
        <v>191</v>
      </c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>
      <c r="A13" s="1"/>
      <c r="B13" s="84" t="s">
        <v>98</v>
      </c>
      <c r="C13" s="8">
        <f>SUMIFS('📦 Subscriptions'!$G$6:$G$205,'📦 Subscriptions'!$C$6:$C$205,$B13,'📦 Subscriptions'!$J$6:$J$205,"Active")</f>
        <v>15.14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>
      <c r="A14" s="1"/>
      <c r="B14" s="84" t="s">
        <v>192</v>
      </c>
      <c r="C14" s="8">
        <f>SUMIFS('📦 Subscriptions'!$G$6:$G$205,'📦 Subscriptions'!$C$6:$C$205,$B14,'📦 Subscriptions'!$J$6:$J$205,"Active")</f>
        <v>0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21" customHeight="1">
      <c r="A22" s="1"/>
      <c r="B22" s="111" t="s">
        <v>193</v>
      </c>
      <c r="C22" s="111" t="s">
        <v>193</v>
      </c>
      <c r="D22" s="111" t="s">
        <v>193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>
      <c r="A24" s="1"/>
      <c r="B24" s="4" t="s">
        <v>117</v>
      </c>
      <c r="C24" s="4" t="s">
        <v>194</v>
      </c>
      <c r="D24" s="4" t="s">
        <v>195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>
      <c r="A25" s="1"/>
      <c r="B25" s="84" t="s">
        <v>24</v>
      </c>
      <c r="C25" s="9">
        <f>INDEX('🗃️ Database'!$F$6:$Q$6,1,1)</f>
        <v>174</v>
      </c>
      <c r="D25" s="9">
        <f>INDEX('🗃️ Database'!$F$9:$Q$9,1,1)</f>
        <v>2088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>
      <c r="A26" s="1"/>
      <c r="B26" s="84" t="s">
        <v>25</v>
      </c>
      <c r="C26" s="9">
        <f>INDEX('🗃️ Database'!$F$6:$Q$6,1,2)</f>
        <v>181</v>
      </c>
      <c r="D26" s="9">
        <f>INDEX('🗃️ Database'!$F$9:$Q$9,1,2)</f>
        <v>2172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>
      <c r="A27" s="1"/>
      <c r="B27" s="84" t="s">
        <v>26</v>
      </c>
      <c r="C27" s="9">
        <f>INDEX('🗃️ Database'!$F$6:$Q$6,1,3)</f>
        <v>185</v>
      </c>
      <c r="D27" s="9">
        <f>INDEX('🗃️ Database'!$F$9:$Q$9,1,3)</f>
        <v>2220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>
      <c r="A28" s="1"/>
      <c r="B28" s="84" t="s">
        <v>27</v>
      </c>
      <c r="C28" s="9">
        <f>INDEX('🗃️ Database'!$F$6:$Q$6,1,4)</f>
        <v>185</v>
      </c>
      <c r="D28" s="9">
        <f>INDEX('🗃️ Database'!$F$9:$Q$9,1,4)</f>
        <v>2220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>
      <c r="A29" s="1"/>
      <c r="B29" s="84" t="s">
        <v>28</v>
      </c>
      <c r="C29" s="9">
        <f>INDEX('🗃️ Database'!$F$6:$Q$6,1,5)</f>
        <v>194.58</v>
      </c>
      <c r="D29" s="9">
        <f>INDEX('🗃️ Database'!$F$9:$Q$9,1,5)</f>
        <v>2334.96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>
      <c r="A30" s="1"/>
      <c r="B30" s="84" t="s">
        <v>29</v>
      </c>
      <c r="C30" s="9">
        <f>INDEX('🗃️ Database'!$F$6:$Q$6,1,6)</f>
        <v>199</v>
      </c>
      <c r="D30" s="9">
        <f>INDEX('🗃️ Database'!$F$9:$Q$9,1,6)</f>
        <v>2388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>
      <c r="A31" s="1"/>
      <c r="B31" s="84" t="s">
        <v>30</v>
      </c>
      <c r="C31" s="9">
        <f>INDEX('🗃️ Database'!$F$6:$Q$6,1,7)</f>
        <v>202</v>
      </c>
      <c r="D31" s="9">
        <f>INDEX('🗃️ Database'!$F$9:$Q$9,1,7)</f>
        <v>2424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>
      <c r="A32" s="1"/>
      <c r="B32" s="84" t="s">
        <v>31</v>
      </c>
      <c r="C32" s="9">
        <f>INDEX('🗃️ Database'!$F$6:$Q$6,1,8)</f>
        <v>204</v>
      </c>
      <c r="D32" s="9">
        <f>INDEX('🗃️ Database'!$F$9:$Q$9,1,8)</f>
        <v>2448</v>
      </c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>
      <c r="A33" s="1"/>
      <c r="B33" s="84" t="s">
        <v>32</v>
      </c>
      <c r="C33" s="9">
        <f>INDEX('🗃️ Database'!$F$6:$Q$6,1,9)</f>
        <v>203</v>
      </c>
      <c r="D33" s="9">
        <f>INDEX('🗃️ Database'!$F$9:$Q$9,1,9)</f>
        <v>2436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>
      <c r="A34" s="1"/>
      <c r="B34" s="84" t="s">
        <v>33</v>
      </c>
      <c r="C34" s="9">
        <f>INDEX('🗃️ Database'!$F$6:$Q$6,1,10)</f>
        <v>211</v>
      </c>
      <c r="D34" s="9">
        <f>INDEX('🗃️ Database'!$F$9:$Q$9,1,10)</f>
        <v>2532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>
      <c r="A35" s="1"/>
      <c r="B35" s="84" t="s">
        <v>34</v>
      </c>
      <c r="C35" s="9">
        <f>INDEX('🗃️ Database'!$F$6:$Q$6,1,11)</f>
        <v>214</v>
      </c>
      <c r="D35" s="9">
        <f>INDEX('🗃️ Database'!$F$9:$Q$9,1,11)</f>
        <v>2568</v>
      </c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>
      <c r="A36" s="1"/>
      <c r="B36" s="84" t="s">
        <v>35</v>
      </c>
      <c r="C36" s="9">
        <f>INDEX('🗃️ Database'!$F$6:$Q$6,1,12)</f>
        <v>218</v>
      </c>
      <c r="D36" s="9">
        <f>INDEX('🗃️ Database'!$F$9:$Q$9,1,12)</f>
        <v>2616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21" customHeight="1">
      <c r="A40" s="1"/>
      <c r="B40" s="111" t="s">
        <v>196</v>
      </c>
      <c r="C40" s="111" t="s">
        <v>196</v>
      </c>
      <c r="D40" s="111" t="s">
        <v>196</v>
      </c>
      <c r="E40" s="111" t="s">
        <v>196</v>
      </c>
      <c r="F40" s="111" t="s">
        <v>196</v>
      </c>
      <c r="G40" s="111" t="s">
        <v>196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96.6">
      <c r="A42" s="1"/>
      <c r="B42" s="4" t="s">
        <v>197</v>
      </c>
      <c r="C42" s="4" t="s">
        <v>49</v>
      </c>
      <c r="D42" s="4" t="s">
        <v>50</v>
      </c>
      <c r="E42" s="4" t="s">
        <v>54</v>
      </c>
      <c r="F42" s="4" t="s">
        <v>60</v>
      </c>
      <c r="G42" s="4" t="s">
        <v>198</v>
      </c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26.45">
      <c r="A43" s="1"/>
      <c r="B43" s="84">
        <v>1</v>
      </c>
      <c r="C43" s="84" t="s">
        <v>63</v>
      </c>
      <c r="D43" s="84" t="s">
        <v>64</v>
      </c>
      <c r="E43" s="8">
        <v>59.99</v>
      </c>
      <c r="F43" s="6">
        <v>0.84</v>
      </c>
      <c r="G43" s="84" t="s">
        <v>199</v>
      </c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>
      <c r="A44" s="1"/>
      <c r="B44" s="84">
        <v>2</v>
      </c>
      <c r="C44" s="84" t="s">
        <v>70</v>
      </c>
      <c r="D44" s="84" t="s">
        <v>64</v>
      </c>
      <c r="E44" s="8">
        <v>20</v>
      </c>
      <c r="F44" s="6">
        <v>0.93</v>
      </c>
      <c r="G44" s="84" t="s">
        <v>200</v>
      </c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26.45">
      <c r="A45" s="1"/>
      <c r="B45" s="84">
        <v>3</v>
      </c>
      <c r="C45" s="84" t="s">
        <v>73</v>
      </c>
      <c r="D45" s="84" t="s">
        <v>74</v>
      </c>
      <c r="E45" s="8">
        <v>20</v>
      </c>
      <c r="F45" s="6">
        <v>0.67</v>
      </c>
      <c r="G45" s="84" t="s">
        <v>201</v>
      </c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>
      <c r="A46" s="1"/>
      <c r="B46" s="84">
        <v>4</v>
      </c>
      <c r="C46" s="84" t="s">
        <v>86</v>
      </c>
      <c r="D46" s="84" t="s">
        <v>87</v>
      </c>
      <c r="E46" s="8">
        <v>15.49</v>
      </c>
      <c r="F46" s="6">
        <v>0.48</v>
      </c>
      <c r="G46" s="84" t="s">
        <v>202</v>
      </c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>
      <c r="A47" s="1"/>
      <c r="B47" s="84">
        <v>5</v>
      </c>
      <c r="C47" s="84" t="s">
        <v>97</v>
      </c>
      <c r="D47" s="84" t="s">
        <v>98</v>
      </c>
      <c r="E47" s="8">
        <v>15.14</v>
      </c>
      <c r="F47" s="6">
        <v>0.18</v>
      </c>
      <c r="G47" s="84" t="s">
        <v>203</v>
      </c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>
      <c r="A48" s="1"/>
      <c r="B48" s="84">
        <v>6</v>
      </c>
      <c r="C48" s="84" t="s">
        <v>167</v>
      </c>
      <c r="D48" s="84" t="s">
        <v>74</v>
      </c>
      <c r="E48" s="8">
        <v>12</v>
      </c>
      <c r="F48" s="6">
        <v>0.42</v>
      </c>
      <c r="G48" s="84" t="s">
        <v>82</v>
      </c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>
      <c r="A49" s="1"/>
      <c r="B49" s="84">
        <v>7</v>
      </c>
      <c r="C49" s="84" t="s">
        <v>79</v>
      </c>
      <c r="D49" s="84" t="s">
        <v>80</v>
      </c>
      <c r="E49" s="8">
        <v>11.99</v>
      </c>
      <c r="F49" s="6">
        <v>0.52</v>
      </c>
      <c r="G49" s="84" t="s">
        <v>204</v>
      </c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>
      <c r="A50" s="1"/>
      <c r="B50" s="84">
        <v>8</v>
      </c>
      <c r="C50" s="84" t="s">
        <v>89</v>
      </c>
      <c r="D50" s="84" t="s">
        <v>87</v>
      </c>
      <c r="E50" s="8">
        <v>10.99</v>
      </c>
      <c r="F50" s="6">
        <v>0.76</v>
      </c>
      <c r="G50" s="84" t="s">
        <v>44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>
      <c r="A51" s="1"/>
      <c r="B51" s="84">
        <v>9</v>
      </c>
      <c r="C51" s="84" t="s">
        <v>77</v>
      </c>
      <c r="D51" s="84" t="s">
        <v>74</v>
      </c>
      <c r="E51" s="8">
        <v>10</v>
      </c>
      <c r="F51" s="6">
        <v>0.78</v>
      </c>
      <c r="G51" s="84" t="s">
        <v>44</v>
      </c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>
      <c r="A52" s="1"/>
      <c r="B52" s="84">
        <v>10</v>
      </c>
      <c r="C52" s="84" t="s">
        <v>84</v>
      </c>
      <c r="D52" s="84" t="s">
        <v>64</v>
      </c>
      <c r="E52" s="8">
        <v>10</v>
      </c>
      <c r="F52" s="6">
        <v>0.88</v>
      </c>
      <c r="G52" s="84" t="s">
        <v>200</v>
      </c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1:37">
      <c r="A53" s="1"/>
      <c r="B53" s="84">
        <v>11</v>
      </c>
      <c r="C53" s="84" t="s">
        <v>93</v>
      </c>
      <c r="D53" s="84" t="s">
        <v>94</v>
      </c>
      <c r="E53" s="8">
        <v>5.99</v>
      </c>
      <c r="F53" s="6">
        <v>0.31</v>
      </c>
      <c r="G53" s="84" t="s">
        <v>205</v>
      </c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1:37">
      <c r="A54" s="1"/>
      <c r="B54" s="84">
        <v>12</v>
      </c>
      <c r="C54" s="84" t="s">
        <v>91</v>
      </c>
      <c r="D54" s="84" t="s">
        <v>80</v>
      </c>
      <c r="E54" s="8">
        <v>2.99</v>
      </c>
      <c r="F54" s="6">
        <v>0.96</v>
      </c>
      <c r="G54" s="84" t="s">
        <v>206</v>
      </c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1:37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1:37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1:3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1:37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spans="1:37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spans="1:37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spans="1:37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spans="1:37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spans="1:37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spans="1:37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spans="1:37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spans="1:37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spans="1:3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spans="1:37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spans="1:37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spans="1:37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</sheetData>
  <mergeCells count="6">
    <mergeCell ref="B40:G40"/>
    <mergeCell ref="B2:Q2"/>
    <mergeCell ref="B3:Q3"/>
    <mergeCell ref="B5:C5"/>
    <mergeCell ref="N5:Q5"/>
    <mergeCell ref="B22:D2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K70"/>
  <sheetViews>
    <sheetView showGridLines="0" workbookViewId="0"/>
  </sheetViews>
  <sheetFormatPr defaultRowHeight="13.9"/>
  <cols>
    <col min="1" max="1" width="3.5" customWidth="1"/>
    <col min="2" max="2" width="26.25" customWidth="1"/>
    <col min="3" max="3" width="18.75" customWidth="1"/>
    <col min="4" max="4" width="5.25" customWidth="1"/>
    <col min="5" max="5" width="21.25" customWidth="1"/>
    <col min="6" max="6" width="17.5" customWidth="1"/>
    <col min="7" max="7" width="21.25" customWidth="1"/>
    <col min="8" max="8" width="18.75" customWidth="1"/>
    <col min="9" max="9" width="17.5" customWidth="1"/>
    <col min="10" max="10" width="5.25" customWidth="1"/>
    <col min="11" max="11" width="18.75" customWidth="1"/>
  </cols>
  <sheetData>
    <row r="1" spans="1:37" ht="13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</row>
    <row r="2" spans="1:37" ht="25.5" customHeight="1">
      <c r="A2" s="1"/>
      <c r="B2" s="109" t="s">
        <v>207</v>
      </c>
      <c r="C2" s="109" t="s">
        <v>207</v>
      </c>
      <c r="D2" s="109" t="s">
        <v>207</v>
      </c>
      <c r="E2" s="109" t="s">
        <v>207</v>
      </c>
      <c r="F2" s="109" t="s">
        <v>207</v>
      </c>
      <c r="G2" s="109" t="s">
        <v>207</v>
      </c>
      <c r="H2" s="109" t="s">
        <v>207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</row>
    <row r="3" spans="1:37" ht="18" customHeight="1">
      <c r="A3" s="1"/>
      <c r="B3" s="110" t="s">
        <v>208</v>
      </c>
      <c r="C3" s="110" t="s">
        <v>208</v>
      </c>
      <c r="D3" s="110" t="s">
        <v>208</v>
      </c>
      <c r="E3" s="110" t="s">
        <v>208</v>
      </c>
      <c r="F3" s="110" t="s">
        <v>208</v>
      </c>
      <c r="G3" s="110" t="s">
        <v>208</v>
      </c>
      <c r="H3" s="110" t="s">
        <v>208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</row>
    <row r="4" spans="1:37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</row>
    <row r="5" spans="1:37" ht="21" customHeight="1">
      <c r="A5" s="1"/>
      <c r="B5" s="4" t="s">
        <v>209</v>
      </c>
      <c r="C5" s="4" t="s">
        <v>177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</row>
    <row r="6" spans="1:37">
      <c r="A6" s="1"/>
      <c r="B6" s="84" t="s">
        <v>210</v>
      </c>
      <c r="C6" s="84" t="s">
        <v>65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</row>
    <row r="7" spans="1:37">
      <c r="A7" s="1"/>
      <c r="B7" s="84" t="s">
        <v>211</v>
      </c>
      <c r="C7" s="5">
        <v>46167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</row>
    <row r="8" spans="1:37">
      <c r="A8" s="1"/>
      <c r="B8" s="84" t="s">
        <v>212</v>
      </c>
      <c r="C8" s="84">
        <v>45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>
      <c r="A9" s="1"/>
      <c r="B9" s="84" t="s">
        <v>213</v>
      </c>
      <c r="C9" s="84">
        <v>45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>
      <c r="A10" s="1"/>
      <c r="B10" s="84" t="s">
        <v>214</v>
      </c>
      <c r="C10" s="6">
        <v>0.6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>
      <c r="A11" s="1"/>
      <c r="B11" s="84" t="s">
        <v>215</v>
      </c>
      <c r="C11" s="6">
        <v>0.08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21" customHeight="1">
      <c r="A14" s="1"/>
      <c r="B14" s="4" t="s">
        <v>52</v>
      </c>
      <c r="C14" s="4" t="s">
        <v>216</v>
      </c>
      <c r="D14" s="1"/>
      <c r="E14" s="4" t="s">
        <v>217</v>
      </c>
      <c r="F14" s="4" t="s">
        <v>218</v>
      </c>
      <c r="G14" s="1"/>
      <c r="H14" s="4" t="s">
        <v>53</v>
      </c>
      <c r="I14" s="4" t="s">
        <v>219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>
      <c r="A15" s="1"/>
      <c r="B15" s="84" t="s">
        <v>65</v>
      </c>
      <c r="C15" s="7">
        <v>1</v>
      </c>
      <c r="D15" s="1"/>
      <c r="E15" s="84" t="s">
        <v>64</v>
      </c>
      <c r="F15" s="84" t="s">
        <v>220</v>
      </c>
      <c r="G15" s="1"/>
      <c r="H15" s="84" t="s">
        <v>66</v>
      </c>
      <c r="I15" s="7">
        <v>1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>
      <c r="A16" s="1"/>
      <c r="B16" s="84" t="s">
        <v>221</v>
      </c>
      <c r="C16" s="7">
        <v>1.08</v>
      </c>
      <c r="D16" s="1"/>
      <c r="E16" s="84" t="s">
        <v>87</v>
      </c>
      <c r="F16" s="84" t="s">
        <v>222</v>
      </c>
      <c r="G16" s="1"/>
      <c r="H16" s="84" t="s">
        <v>81</v>
      </c>
      <c r="I16" s="7">
        <v>8.3333333333333329E-2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>
      <c r="A17" s="1"/>
      <c r="B17" s="84" t="s">
        <v>223</v>
      </c>
      <c r="C17" s="7">
        <v>1.27</v>
      </c>
      <c r="D17" s="1"/>
      <c r="E17" s="84" t="s">
        <v>80</v>
      </c>
      <c r="F17" s="84" t="s">
        <v>224</v>
      </c>
      <c r="G17" s="1"/>
      <c r="H17" s="84" t="s">
        <v>225</v>
      </c>
      <c r="I17" s="7">
        <v>0.33333333333333331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>
      <c r="A18" s="1"/>
      <c r="B18" s="84" t="s">
        <v>226</v>
      </c>
      <c r="C18" s="7">
        <v>0.66</v>
      </c>
      <c r="D18" s="1"/>
      <c r="E18" s="84" t="s">
        <v>74</v>
      </c>
      <c r="F18" s="84" t="s">
        <v>227</v>
      </c>
      <c r="G18" s="1"/>
      <c r="H18" s="84" t="s">
        <v>228</v>
      </c>
      <c r="I18" s="7">
        <v>4.333333333333333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>
      <c r="A19" s="1"/>
      <c r="B19" s="84" t="s">
        <v>229</v>
      </c>
      <c r="C19" s="7">
        <v>0.73</v>
      </c>
      <c r="D19" s="1"/>
      <c r="E19" s="84" t="s">
        <v>94</v>
      </c>
      <c r="F19" s="84" t="s">
        <v>230</v>
      </c>
      <c r="G19" s="1"/>
      <c r="H19" s="84" t="s">
        <v>231</v>
      </c>
      <c r="I19" s="7">
        <v>0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>
      <c r="A20" s="1"/>
      <c r="B20" s="84" t="s">
        <v>232</v>
      </c>
      <c r="C20" s="7">
        <v>1.2E-2</v>
      </c>
      <c r="D20" s="1"/>
      <c r="E20" s="84" t="s">
        <v>98</v>
      </c>
      <c r="F20" s="84" t="s">
        <v>233</v>
      </c>
      <c r="G20" s="1"/>
      <c r="H20" s="84"/>
      <c r="I20" s="7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>
      <c r="A21" s="1"/>
      <c r="B21" s="1"/>
      <c r="C21" s="1"/>
      <c r="D21" s="1"/>
      <c r="E21" s="84" t="s">
        <v>192</v>
      </c>
      <c r="F21" s="84" t="s">
        <v>234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>
      <c r="A22" s="1"/>
      <c r="B22" s="1"/>
      <c r="C22" s="1"/>
      <c r="D22" s="1"/>
      <c r="E22" s="84"/>
      <c r="F22" s="84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21" customHeight="1">
      <c r="A25" s="1"/>
      <c r="B25" s="4" t="s">
        <v>235</v>
      </c>
      <c r="C25" s="4" t="s">
        <v>236</v>
      </c>
      <c r="D25" s="4"/>
      <c r="E25" s="4" t="s">
        <v>237</v>
      </c>
      <c r="F25" s="4"/>
      <c r="G25" s="4" t="s">
        <v>238</v>
      </c>
      <c r="H25" s="4"/>
      <c r="I25" s="4" t="s">
        <v>58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>
      <c r="A26" s="1"/>
      <c r="B26" s="84" t="s">
        <v>239</v>
      </c>
      <c r="C26" s="84" t="s">
        <v>240</v>
      </c>
      <c r="D26" s="84"/>
      <c r="E26" s="84" t="s">
        <v>67</v>
      </c>
      <c r="F26" s="84"/>
      <c r="G26" s="84" t="s">
        <v>71</v>
      </c>
      <c r="H26" s="84"/>
      <c r="I26" s="84" t="s">
        <v>68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>
      <c r="A27" s="1"/>
      <c r="B27" s="84" t="s">
        <v>241</v>
      </c>
      <c r="C27" s="84" t="s">
        <v>242</v>
      </c>
      <c r="D27" s="84"/>
      <c r="E27" s="84" t="s">
        <v>243</v>
      </c>
      <c r="F27" s="84"/>
      <c r="G27" s="84" t="s">
        <v>46</v>
      </c>
      <c r="H27" s="84"/>
      <c r="I27" s="84" t="s">
        <v>99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>
      <c r="A28" s="1"/>
      <c r="B28" s="84" t="s">
        <v>244</v>
      </c>
      <c r="C28" s="84" t="s">
        <v>220</v>
      </c>
      <c r="D28" s="84"/>
      <c r="E28" s="84" t="s">
        <v>245</v>
      </c>
      <c r="F28" s="84"/>
      <c r="G28" s="84" t="s">
        <v>82</v>
      </c>
      <c r="H28" s="84"/>
      <c r="I28" s="84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>
      <c r="A29" s="1"/>
      <c r="B29" s="84" t="s">
        <v>246</v>
      </c>
      <c r="C29" s="84" t="s">
        <v>233</v>
      </c>
      <c r="D29" s="84"/>
      <c r="E29" s="84"/>
      <c r="F29" s="84"/>
      <c r="G29" s="84" t="s">
        <v>95</v>
      </c>
      <c r="H29" s="84"/>
      <c r="I29" s="84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>
      <c r="A30" s="1"/>
      <c r="B30" s="84" t="s">
        <v>247</v>
      </c>
      <c r="C30" s="84" t="s">
        <v>222</v>
      </c>
      <c r="D30" s="84"/>
      <c r="E30" s="84"/>
      <c r="F30" s="84"/>
      <c r="G30" s="84" t="s">
        <v>75</v>
      </c>
      <c r="H30" s="84"/>
      <c r="I30" s="84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>
      <c r="A31" s="1"/>
      <c r="B31" s="84" t="s">
        <v>248</v>
      </c>
      <c r="C31" s="84" t="s">
        <v>249</v>
      </c>
      <c r="D31" s="84"/>
      <c r="E31" s="84"/>
      <c r="F31" s="84"/>
      <c r="G31" s="84"/>
      <c r="H31" s="84"/>
      <c r="I31" s="84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>
      <c r="A32" s="1"/>
      <c r="B32" s="84" t="s">
        <v>250</v>
      </c>
      <c r="C32" s="84" t="s">
        <v>251</v>
      </c>
      <c r="D32" s="84"/>
      <c r="E32" s="84"/>
      <c r="F32" s="84"/>
      <c r="G32" s="84"/>
      <c r="H32" s="84"/>
      <c r="I32" s="84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>
      <c r="A33" s="1"/>
      <c r="B33" s="84" t="s">
        <v>252</v>
      </c>
      <c r="C33" s="84" t="s">
        <v>253</v>
      </c>
      <c r="D33" s="84"/>
      <c r="E33" s="84"/>
      <c r="F33" s="84"/>
      <c r="G33" s="84"/>
      <c r="H33" s="84"/>
      <c r="I33" s="84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1:37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1:37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1:37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1:37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1:3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1:37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spans="1:37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spans="1:37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spans="1:37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spans="1:37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spans="1:37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spans="1:37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spans="1:37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spans="1:37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spans="1:3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spans="1:37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spans="1:37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spans="1:37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</sheetData>
  <mergeCells count="2">
    <mergeCell ref="B2:H2"/>
    <mergeCell ref="B3:H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K216"/>
  <sheetViews>
    <sheetView showGridLines="0" workbookViewId="0"/>
  </sheetViews>
  <sheetFormatPr defaultRowHeight="13.9"/>
  <cols>
    <col min="1" max="1" width="2.75" customWidth="1"/>
    <col min="2" max="2" width="20" customWidth="1"/>
    <col min="3" max="18" width="15" customWidth="1"/>
  </cols>
  <sheetData>
    <row r="1" spans="1:3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</row>
    <row r="2" spans="1:37" ht="29.45">
      <c r="A2" s="1"/>
      <c r="B2" s="118" t="s">
        <v>254</v>
      </c>
      <c r="C2" s="118" t="s">
        <v>254</v>
      </c>
      <c r="D2" s="118" t="s">
        <v>254</v>
      </c>
      <c r="E2" s="118" t="s">
        <v>254</v>
      </c>
      <c r="F2" s="118" t="s">
        <v>254</v>
      </c>
      <c r="G2" s="118" t="s">
        <v>254</v>
      </c>
      <c r="H2" s="118" t="s">
        <v>254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</row>
    <row r="3" spans="1:37">
      <c r="A3" s="1"/>
      <c r="B3" s="119" t="s">
        <v>255</v>
      </c>
      <c r="C3" s="119" t="s">
        <v>255</v>
      </c>
      <c r="D3" s="119" t="s">
        <v>255</v>
      </c>
      <c r="E3" s="119" t="s">
        <v>255</v>
      </c>
      <c r="F3" s="119" t="s">
        <v>255</v>
      </c>
      <c r="G3" s="119" t="s">
        <v>255</v>
      </c>
      <c r="H3" s="119" t="s">
        <v>255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</row>
    <row r="4" spans="1:37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</row>
    <row r="5" spans="1:37">
      <c r="A5" s="1"/>
      <c r="B5" s="4" t="s">
        <v>50</v>
      </c>
      <c r="C5" s="4" t="s">
        <v>54</v>
      </c>
      <c r="D5" s="1"/>
      <c r="E5" s="4" t="s">
        <v>23</v>
      </c>
      <c r="F5" s="4" t="s">
        <v>24</v>
      </c>
      <c r="G5" s="4" t="s">
        <v>25</v>
      </c>
      <c r="H5" s="4" t="s">
        <v>26</v>
      </c>
      <c r="I5" s="4" t="s">
        <v>27</v>
      </c>
      <c r="J5" s="4" t="s">
        <v>28</v>
      </c>
      <c r="K5" s="4" t="s">
        <v>29</v>
      </c>
      <c r="L5" s="4" t="s">
        <v>30</v>
      </c>
      <c r="M5" s="4" t="s">
        <v>31</v>
      </c>
      <c r="N5" s="4" t="s">
        <v>32</v>
      </c>
      <c r="O5" s="4" t="s">
        <v>33</v>
      </c>
      <c r="P5" s="4" t="s">
        <v>34</v>
      </c>
      <c r="Q5" s="4" t="s">
        <v>35</v>
      </c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</row>
    <row r="6" spans="1:37">
      <c r="A6" s="1"/>
      <c r="B6" s="84" t="s">
        <v>64</v>
      </c>
      <c r="C6" s="9">
        <f>SUMIFS('📦 Subscriptions'!$G$6:$G$205,'📦 Subscriptions'!$C$6:$C$205,$B6,'📦 Subscriptions'!$J$6:$J$205,"Active")</f>
        <v>89.990000000000009</v>
      </c>
      <c r="D6" s="1"/>
      <c r="E6" s="84" t="s">
        <v>37</v>
      </c>
      <c r="F6" s="9">
        <v>174</v>
      </c>
      <c r="G6" s="9">
        <v>181</v>
      </c>
      <c r="H6" s="9">
        <v>185</v>
      </c>
      <c r="I6" s="9">
        <v>185</v>
      </c>
      <c r="J6" s="9">
        <v>194.58</v>
      </c>
      <c r="K6" s="9">
        <v>199</v>
      </c>
      <c r="L6" s="9">
        <v>202</v>
      </c>
      <c r="M6" s="9">
        <v>204</v>
      </c>
      <c r="N6" s="9">
        <v>203</v>
      </c>
      <c r="O6" s="9">
        <v>211</v>
      </c>
      <c r="P6" s="9">
        <v>214</v>
      </c>
      <c r="Q6" s="9">
        <v>218</v>
      </c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</row>
    <row r="7" spans="1:37">
      <c r="A7" s="1"/>
      <c r="B7" s="84" t="s">
        <v>87</v>
      </c>
      <c r="C7" s="9">
        <f>SUMIFS('📦 Subscriptions'!$G$6:$G$205,'📦 Subscriptions'!$C$6:$C$205,$B7,'📦 Subscriptions'!$J$6:$J$205,"Active")</f>
        <v>26.48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</row>
    <row r="8" spans="1:37">
      <c r="A8" s="1"/>
      <c r="B8" s="84" t="s">
        <v>80</v>
      </c>
      <c r="C8" s="9">
        <f>SUMIFS('📦 Subscriptions'!$G$6:$G$205,'📦 Subscriptions'!$C$6:$C$205,$B8,'📦 Subscriptions'!$J$6:$J$205,"Active")</f>
        <v>14.979999999999999</v>
      </c>
      <c r="D8" s="1"/>
      <c r="E8" s="4" t="s">
        <v>23</v>
      </c>
      <c r="F8" s="4" t="s">
        <v>24</v>
      </c>
      <c r="G8" s="4" t="s">
        <v>25</v>
      </c>
      <c r="H8" s="4" t="s">
        <v>26</v>
      </c>
      <c r="I8" s="4" t="s">
        <v>27</v>
      </c>
      <c r="J8" s="4" t="s">
        <v>28</v>
      </c>
      <c r="K8" s="4" t="s">
        <v>29</v>
      </c>
      <c r="L8" s="4" t="s">
        <v>30</v>
      </c>
      <c r="M8" s="4" t="s">
        <v>31</v>
      </c>
      <c r="N8" s="4" t="s">
        <v>32</v>
      </c>
      <c r="O8" s="4" t="s">
        <v>33</v>
      </c>
      <c r="P8" s="4" t="s">
        <v>34</v>
      </c>
      <c r="Q8" s="4" t="s">
        <v>35</v>
      </c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>
      <c r="A9" s="1"/>
      <c r="B9" s="84" t="s">
        <v>74</v>
      </c>
      <c r="C9" s="9">
        <f>SUMIFS('📦 Subscriptions'!$G$6:$G$205,'📦 Subscriptions'!$C$6:$C$205,$B9,'📦 Subscriptions'!$J$6:$J$205,"Active")</f>
        <v>30</v>
      </c>
      <c r="D9" s="1"/>
      <c r="E9" s="84" t="s">
        <v>38</v>
      </c>
      <c r="F9" s="9">
        <v>2088</v>
      </c>
      <c r="G9" s="9">
        <v>2172</v>
      </c>
      <c r="H9" s="9">
        <v>2220</v>
      </c>
      <c r="I9" s="9">
        <v>2220</v>
      </c>
      <c r="J9" s="9">
        <v>2334.96</v>
      </c>
      <c r="K9" s="9">
        <v>2388</v>
      </c>
      <c r="L9" s="9">
        <v>2424</v>
      </c>
      <c r="M9" s="9">
        <v>2448</v>
      </c>
      <c r="N9" s="9">
        <v>2436</v>
      </c>
      <c r="O9" s="9">
        <v>2532</v>
      </c>
      <c r="P9" s="9">
        <v>2568</v>
      </c>
      <c r="Q9" s="9">
        <v>2616</v>
      </c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>
      <c r="A10" s="1"/>
      <c r="B10" s="84" t="s">
        <v>94</v>
      </c>
      <c r="C10" s="9">
        <f>SUMIFS('📦 Subscriptions'!$G$6:$G$205,'📦 Subscriptions'!$C$6:$C$205,$B10,'📦 Subscriptions'!$J$6:$J$205,"Active")</f>
        <v>5.9899999999999993</v>
      </c>
      <c r="D10" s="1"/>
      <c r="E10" s="84" t="s">
        <v>39</v>
      </c>
      <c r="F10" s="9">
        <v>46</v>
      </c>
      <c r="G10" s="9">
        <v>52</v>
      </c>
      <c r="H10" s="9">
        <v>58</v>
      </c>
      <c r="I10" s="9">
        <v>61</v>
      </c>
      <c r="J10" s="9">
        <v>64</v>
      </c>
      <c r="K10" s="9">
        <v>66</v>
      </c>
      <c r="L10" s="9">
        <v>71</v>
      </c>
      <c r="M10" s="9">
        <v>74</v>
      </c>
      <c r="N10" s="9">
        <v>78</v>
      </c>
      <c r="O10" s="9">
        <v>81</v>
      </c>
      <c r="P10" s="9">
        <v>85</v>
      </c>
      <c r="Q10" s="9">
        <v>88</v>
      </c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>
      <c r="A11" s="1"/>
      <c r="B11" s="84" t="s">
        <v>98</v>
      </c>
      <c r="C11" s="9">
        <f>SUMIFS('📦 Subscriptions'!$G$6:$G$205,'📦 Subscriptions'!$C$6:$C$205,$B11,'📦 Subscriptions'!$J$6:$J$205,"Active")</f>
        <v>15.14</v>
      </c>
      <c r="D11" s="1"/>
      <c r="E11" s="84" t="s">
        <v>40</v>
      </c>
      <c r="F11" s="10">
        <v>1</v>
      </c>
      <c r="G11" s="10">
        <v>0</v>
      </c>
      <c r="H11" s="10">
        <v>0</v>
      </c>
      <c r="I11" s="10">
        <v>0</v>
      </c>
      <c r="J11" s="10">
        <v>0</v>
      </c>
      <c r="K11" s="10">
        <v>7</v>
      </c>
      <c r="L11" s="10">
        <v>2</v>
      </c>
      <c r="M11" s="10">
        <v>1</v>
      </c>
      <c r="N11" s="10">
        <v>1</v>
      </c>
      <c r="O11" s="10">
        <v>0</v>
      </c>
      <c r="P11" s="10">
        <v>0</v>
      </c>
      <c r="Q11" s="10">
        <v>0</v>
      </c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>
      <c r="A12" s="1"/>
      <c r="B12" s="84" t="s">
        <v>192</v>
      </c>
      <c r="C12" s="9">
        <f>SUMIFS('📦 Subscriptions'!$G$6:$G$205,'📦 Subscriptions'!$C$6:$C$205,$B12,'📦 Subscriptions'!$J$6:$J$205,"Active")</f>
        <v>0</v>
      </c>
      <c r="D12" s="1"/>
      <c r="E12" s="84" t="s">
        <v>41</v>
      </c>
      <c r="F12" s="10">
        <v>72</v>
      </c>
      <c r="G12" s="10">
        <v>73</v>
      </c>
      <c r="H12" s="10">
        <v>75</v>
      </c>
      <c r="I12" s="10">
        <v>78</v>
      </c>
      <c r="J12" s="10">
        <v>82</v>
      </c>
      <c r="K12" s="10">
        <v>84</v>
      </c>
      <c r="L12" s="10">
        <v>85</v>
      </c>
      <c r="M12" s="10">
        <v>86</v>
      </c>
      <c r="N12" s="10">
        <v>88</v>
      </c>
      <c r="O12" s="10">
        <v>89</v>
      </c>
      <c r="P12" s="10">
        <v>91</v>
      </c>
      <c r="Q12" s="10">
        <v>92</v>
      </c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27.6">
      <c r="A16" s="1"/>
      <c r="B16" s="4" t="s">
        <v>49</v>
      </c>
      <c r="C16" s="4" t="s">
        <v>256</v>
      </c>
      <c r="D16" s="4" t="s">
        <v>179</v>
      </c>
      <c r="E16" s="4" t="s">
        <v>172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4" t="s">
        <v>49</v>
      </c>
      <c r="T16" s="4" t="s">
        <v>50</v>
      </c>
      <c r="U16" s="4" t="s">
        <v>54</v>
      </c>
      <c r="V16" s="4" t="s">
        <v>59</v>
      </c>
      <c r="W16" s="4" t="s">
        <v>60</v>
      </c>
      <c r="X16" s="4" t="s">
        <v>61</v>
      </c>
      <c r="Y16" s="4" t="s">
        <v>257</v>
      </c>
      <c r="Z16" s="4" t="s">
        <v>258</v>
      </c>
      <c r="AA16" s="4" t="s">
        <v>259</v>
      </c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52.9">
      <c r="A17" s="1"/>
      <c r="B17" s="84" t="s">
        <v>63</v>
      </c>
      <c r="C17" s="8">
        <v>54.99</v>
      </c>
      <c r="D17" s="8">
        <f>IFERROR(VLOOKUP($B17,'📦 Subscriptions'!$B$6:$G$205,6,FALSE),"")</f>
        <v>59.99</v>
      </c>
      <c r="E17" s="11">
        <f t="shared" ref="E17:E28" si="0">IFERROR($D17/$C17-1,"")</f>
        <v>9.0925622840516418E-2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84" t="str">
        <f>'📦 Subscriptions'!$B6</f>
        <v>💠 Adobe Creative Cloud</v>
      </c>
      <c r="T17" s="84" t="str">
        <f>'📦 Subscriptions'!$C6</f>
        <v>Software</v>
      </c>
      <c r="U17" s="8">
        <f>'📦 Subscriptions'!$G6</f>
        <v>59.99</v>
      </c>
      <c r="V17" s="5">
        <f>'📦 Subscriptions'!$L6</f>
        <v>46163</v>
      </c>
      <c r="W17" s="6">
        <f>'📦 Subscriptions'!$M6</f>
        <v>0.84</v>
      </c>
      <c r="X17" s="84" t="str">
        <f>'📦 Subscriptions'!$N6</f>
        <v>Review</v>
      </c>
      <c r="Y17" s="84" t="b">
        <f>IF($S17="","",AND('📦 Subscriptions'!$J6="Active",COUNTIFS('📦 Subscriptions'!$C$6:$C$205,$T17,'📦 Subscriptions'!$J$6:$J$205,"Active")&gt;1,$U17&gt;0))</f>
        <v>1</v>
      </c>
      <c r="Z17" s="84" t="b">
        <f>IF($S17="","",AND('📦 Subscriptions'!$J6="Active",OR('⚙️ Settings'!$C$7-$V17&gt;='⚙️ Settings'!$C$9,$W17&lt;'⚙️ Settings'!$C$10)))</f>
        <v>0</v>
      </c>
      <c r="AA17" s="84" t="b">
        <f>IF($S17="","",AND('📦 Subscriptions'!$J6="Active",OR($X17="Downgrade",$X17="Switch to Annual")))</f>
        <v>0</v>
      </c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39.6">
      <c r="A18" s="1"/>
      <c r="B18" s="84" t="s">
        <v>70</v>
      </c>
      <c r="C18" s="8">
        <v>20</v>
      </c>
      <c r="D18" s="8">
        <f>IFERROR(VLOOKUP($B18,'📦 Subscriptions'!$B$6:$G$205,6,FALSE),"")</f>
        <v>20</v>
      </c>
      <c r="E18" s="11">
        <f t="shared" si="0"/>
        <v>0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84" t="str">
        <f>'📦 Subscriptions'!$B7</f>
        <v>🤖 ChatGPT Plus</v>
      </c>
      <c r="T18" s="84" t="str">
        <f>'📦 Subscriptions'!$C7</f>
        <v>Software</v>
      </c>
      <c r="U18" s="8">
        <f>'📦 Subscriptions'!$G7</f>
        <v>20</v>
      </c>
      <c r="V18" s="5">
        <f>'📦 Subscriptions'!$L7</f>
        <v>46166</v>
      </c>
      <c r="W18" s="6">
        <f>'📦 Subscriptions'!$M7</f>
        <v>0.93</v>
      </c>
      <c r="X18" s="84" t="str">
        <f>'📦 Subscriptions'!$N7</f>
        <v>Keep</v>
      </c>
      <c r="Y18" s="84" t="b">
        <f>IF($S18="","",AND('📦 Subscriptions'!$J7="Active",COUNTIFS('📦 Subscriptions'!$C$6:$C$205,$T18,'📦 Subscriptions'!$J$6:$J$205,"Active")&gt;1,$U18&gt;0))</f>
        <v>1</v>
      </c>
      <c r="Z18" s="84" t="b">
        <f>IF($S18="","",AND('📦 Subscriptions'!$J7="Active",OR('⚙️ Settings'!$C$7-$V18&gt;='⚙️ Settings'!$C$9,$W18&lt;'⚙️ Settings'!$C$10)))</f>
        <v>0</v>
      </c>
      <c r="AA18" s="84" t="b">
        <f>IF($S18="","",AND('📦 Subscriptions'!$J7="Active",OR($X18="Downgrade",$X18="Switch to Annual")))</f>
        <v>0</v>
      </c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39.6">
      <c r="A19" s="1"/>
      <c r="B19" s="84" t="s">
        <v>73</v>
      </c>
      <c r="C19" s="8">
        <v>20</v>
      </c>
      <c r="D19" s="8">
        <f>IFERROR(VLOOKUP($B19,'📦 Subscriptions'!$B$6:$G$205,6,FALSE),"")</f>
        <v>20</v>
      </c>
      <c r="E19" s="11">
        <f t="shared" si="0"/>
        <v>0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84" t="str">
        <f>'📦 Subscriptions'!$B8</f>
        <v>🎨 Figma Professional</v>
      </c>
      <c r="T19" s="84" t="str">
        <f>'📦 Subscriptions'!$C8</f>
        <v>Productivity</v>
      </c>
      <c r="U19" s="8">
        <f>'📦 Subscriptions'!$G8</f>
        <v>20</v>
      </c>
      <c r="V19" s="5">
        <f>'📦 Subscriptions'!$L8</f>
        <v>46162</v>
      </c>
      <c r="W19" s="6">
        <f>'📦 Subscriptions'!$M8</f>
        <v>0.67</v>
      </c>
      <c r="X19" s="84" t="str">
        <f>'📦 Subscriptions'!$N8</f>
        <v>Switch to Annual</v>
      </c>
      <c r="Y19" s="84" t="b">
        <f>IF($S19="","",AND('📦 Subscriptions'!$J8="Active",COUNTIFS('📦 Subscriptions'!$C$6:$C$205,$T19,'📦 Subscriptions'!$J$6:$J$205,"Active")&gt;1,$U19&gt;0))</f>
        <v>1</v>
      </c>
      <c r="Z19" s="84" t="b">
        <f>IF($S19="","",AND('📦 Subscriptions'!$J8="Active",OR('⚙️ Settings'!$C$7-$V19&gt;='⚙️ Settings'!$C$9,$W19&lt;'⚙️ Settings'!$C$10)))</f>
        <v>0</v>
      </c>
      <c r="AA19" s="84" t="b">
        <f>IF($S19="","",AND('📦 Subscriptions'!$J8="Active",OR($X19="Downgrade",$X19="Switch to Annual")))</f>
        <v>1</v>
      </c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39.6">
      <c r="A20" s="1"/>
      <c r="B20" s="84" t="s">
        <v>77</v>
      </c>
      <c r="C20" s="8">
        <v>10</v>
      </c>
      <c r="D20" s="8">
        <f>IFERROR(VLOOKUP($B20,'📦 Subscriptions'!$B$6:$G$205,6,FALSE),"")</f>
        <v>10</v>
      </c>
      <c r="E20" s="11">
        <f t="shared" si="0"/>
        <v>0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84" t="str">
        <f>'📦 Subscriptions'!$B9</f>
        <v>🧠 Notion Plus</v>
      </c>
      <c r="T20" s="84" t="str">
        <f>'📦 Subscriptions'!$C9</f>
        <v>Productivity</v>
      </c>
      <c r="U20" s="8">
        <f>'📦 Subscriptions'!$G9</f>
        <v>10</v>
      </c>
      <c r="V20" s="5">
        <f>'📦 Subscriptions'!$L9</f>
        <v>46165</v>
      </c>
      <c r="W20" s="6">
        <f>'📦 Subscriptions'!$M9</f>
        <v>0.78</v>
      </c>
      <c r="X20" s="84" t="str">
        <f>'📦 Subscriptions'!$N9</f>
        <v>Keep</v>
      </c>
      <c r="Y20" s="84" t="b">
        <f>IF($S20="","",AND('📦 Subscriptions'!$J9="Active",COUNTIFS('📦 Subscriptions'!$C$6:$C$205,$T20,'📦 Subscriptions'!$J$6:$J$205,"Active")&gt;1,$U20&gt;0))</f>
        <v>1</v>
      </c>
      <c r="Z20" s="84" t="b">
        <f>IF($S20="","",AND('📦 Subscriptions'!$J9="Active",OR('⚙️ Settings'!$C$7-$V20&gt;='⚙️ Settings'!$C$9,$W20&lt;'⚙️ Settings'!$C$10)))</f>
        <v>0</v>
      </c>
      <c r="AA20" s="84" t="b">
        <f>IF($S20="","",AND('📦 Subscriptions'!$J9="Active",OR($X20="Downgrade",$X20="Switch to Annual")))</f>
        <v>0</v>
      </c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39.6">
      <c r="A21" s="1"/>
      <c r="B21" s="84" t="s">
        <v>79</v>
      </c>
      <c r="C21" s="8">
        <v>9.99</v>
      </c>
      <c r="D21" s="8">
        <f>IFERROR(VLOOKUP($B21,'📦 Subscriptions'!$B$6:$G$205,6,FALSE),"")</f>
        <v>11.989999999999998</v>
      </c>
      <c r="E21" s="11">
        <f t="shared" si="0"/>
        <v>0.20020020020020013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84" t="str">
        <f>'📦 Subscriptions'!$B10</f>
        <v>☁️ Dropbox Plus</v>
      </c>
      <c r="T21" s="84" t="str">
        <f>'📦 Subscriptions'!$C10</f>
        <v>Cloud</v>
      </c>
      <c r="U21" s="8">
        <f>'📦 Subscriptions'!$G10</f>
        <v>11.989999999999998</v>
      </c>
      <c r="V21" s="5">
        <f>'📦 Subscriptions'!$L10</f>
        <v>46160</v>
      </c>
      <c r="W21" s="6">
        <f>'📦 Subscriptions'!$M10</f>
        <v>0.52</v>
      </c>
      <c r="X21" s="84" t="str">
        <f>'📦 Subscriptions'!$N10</f>
        <v>Downgrade</v>
      </c>
      <c r="Y21" s="84" t="b">
        <f>IF($S21="","",AND('📦 Subscriptions'!$J10="Active",COUNTIFS('📦 Subscriptions'!$C$6:$C$205,$T21,'📦 Subscriptions'!$J$6:$J$205,"Active")&gt;1,$U21&gt;0))</f>
        <v>1</v>
      </c>
      <c r="Z21" s="84" t="b">
        <f>IF($S21="","",AND('📦 Subscriptions'!$J10="Active",OR('⚙️ Settings'!$C$7-$V21&gt;='⚙️ Settings'!$C$9,$W21&lt;'⚙️ Settings'!$C$10)))</f>
        <v>1</v>
      </c>
      <c r="AA21" s="84" t="b">
        <f>IF($S21="","",AND('📦 Subscriptions'!$J10="Active",OR($X21="Downgrade",$X21="Switch to Annual")))</f>
        <v>1</v>
      </c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39.6">
      <c r="A22" s="1"/>
      <c r="B22" s="84" t="s">
        <v>84</v>
      </c>
      <c r="C22" s="8">
        <v>10</v>
      </c>
      <c r="D22" s="8">
        <f>IFERROR(VLOOKUP($B22,'📦 Subscriptions'!$B$6:$G$205,6,FALSE),"")</f>
        <v>10</v>
      </c>
      <c r="E22" s="11">
        <f t="shared" si="0"/>
        <v>0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84" t="str">
        <f>'📦 Subscriptions'!$B11</f>
        <v>&lt;/&gt; GitHub Copilot</v>
      </c>
      <c r="T22" s="84" t="str">
        <f>'📦 Subscriptions'!$C11</f>
        <v>Software</v>
      </c>
      <c r="U22" s="8">
        <f>'📦 Subscriptions'!$G11</f>
        <v>10</v>
      </c>
      <c r="V22" s="5">
        <f>'📦 Subscriptions'!$L11</f>
        <v>46164</v>
      </c>
      <c r="W22" s="6">
        <f>'📦 Subscriptions'!$M11</f>
        <v>0.88</v>
      </c>
      <c r="X22" s="84" t="str">
        <f>'📦 Subscriptions'!$N11</f>
        <v>Keep</v>
      </c>
      <c r="Y22" s="84" t="b">
        <f>IF($S22="","",AND('📦 Subscriptions'!$J11="Active",COUNTIFS('📦 Subscriptions'!$C$6:$C$205,$T22,'📦 Subscriptions'!$J$6:$J$205,"Active")&gt;1,$U22&gt;0))</f>
        <v>1</v>
      </c>
      <c r="Z22" s="84" t="b">
        <f>IF($S22="","",AND('📦 Subscriptions'!$J11="Active",OR('⚙️ Settings'!$C$7-$V22&gt;='⚙️ Settings'!$C$9,$W22&lt;'⚙️ Settings'!$C$10)))</f>
        <v>0</v>
      </c>
      <c r="AA22" s="84" t="b">
        <f>IF($S22="","",AND('📦 Subscriptions'!$J11="Active",OR($X22="Downgrade",$X22="Switch to Annual")))</f>
        <v>0</v>
      </c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26.45">
      <c r="A23" s="1"/>
      <c r="B23" s="84" t="s">
        <v>86</v>
      </c>
      <c r="C23" s="8">
        <v>13.99</v>
      </c>
      <c r="D23" s="8">
        <f>IFERROR(VLOOKUP($B23,'📦 Subscriptions'!$B$6:$G$205,6,FALSE),"")</f>
        <v>15.49</v>
      </c>
      <c r="E23" s="11">
        <f t="shared" si="0"/>
        <v>0.10721944245889925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84" t="str">
        <f>'📦 Subscriptions'!$B12</f>
        <v>🎬 Netflix</v>
      </c>
      <c r="T23" s="84" t="str">
        <f>'📦 Subscriptions'!$C12</f>
        <v>Entertainment</v>
      </c>
      <c r="U23" s="8">
        <f>'📦 Subscriptions'!$G12</f>
        <v>15.49</v>
      </c>
      <c r="V23" s="5">
        <f>'📦 Subscriptions'!$L12</f>
        <v>46152</v>
      </c>
      <c r="W23" s="6">
        <f>'📦 Subscriptions'!$M12</f>
        <v>0.48</v>
      </c>
      <c r="X23" s="84" t="str">
        <f>'📦 Subscriptions'!$N12</f>
        <v>Review</v>
      </c>
      <c r="Y23" s="84" t="b">
        <f>IF($S23="","",AND('📦 Subscriptions'!$J12="Active",COUNTIFS('📦 Subscriptions'!$C$6:$C$205,$T23,'📦 Subscriptions'!$J$6:$J$205,"Active")&gt;1,$U23&gt;0))</f>
        <v>1</v>
      </c>
      <c r="Z23" s="84" t="b">
        <f>IF($S23="","",AND('📦 Subscriptions'!$J12="Active",OR('⚙️ Settings'!$C$7-$V23&gt;='⚙️ Settings'!$C$9,$W23&lt;'⚙️ Settings'!$C$10)))</f>
        <v>1</v>
      </c>
      <c r="AA23" s="84" t="b">
        <f>IF($S23="","",AND('📦 Subscriptions'!$J12="Active",OR($X23="Downgrade",$X23="Switch to Annual")))</f>
        <v>0</v>
      </c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26.45">
      <c r="A24" s="1"/>
      <c r="B24" s="84" t="s">
        <v>89</v>
      </c>
      <c r="C24" s="8">
        <v>10.99</v>
      </c>
      <c r="D24" s="8">
        <f>IFERROR(VLOOKUP($B24,'📦 Subscriptions'!$B$6:$G$205,6,FALSE),"")</f>
        <v>10.99</v>
      </c>
      <c r="E24" s="11">
        <f t="shared" si="0"/>
        <v>0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84" t="str">
        <f>'📦 Subscriptions'!$B13</f>
        <v>🎧 Spotify</v>
      </c>
      <c r="T24" s="84" t="str">
        <f>'📦 Subscriptions'!$C13</f>
        <v>Entertainment</v>
      </c>
      <c r="U24" s="8">
        <f>'📦 Subscriptions'!$G13</f>
        <v>10.99</v>
      </c>
      <c r="V24" s="5">
        <f>'📦 Subscriptions'!$L13</f>
        <v>46165</v>
      </c>
      <c r="W24" s="6">
        <f>'📦 Subscriptions'!$M13</f>
        <v>0.76</v>
      </c>
      <c r="X24" s="84" t="str">
        <f>'📦 Subscriptions'!$N13</f>
        <v>Keep</v>
      </c>
      <c r="Y24" s="84" t="b">
        <f>IF($S24="","",AND('📦 Subscriptions'!$J13="Active",COUNTIFS('📦 Subscriptions'!$C$6:$C$205,$T24,'📦 Subscriptions'!$J$6:$J$205,"Active")&gt;1,$U24&gt;0))</f>
        <v>1</v>
      </c>
      <c r="Z24" s="84" t="b">
        <f>IF($S24="","",AND('📦 Subscriptions'!$J13="Active",OR('⚙️ Settings'!$C$7-$V24&gt;='⚙️ Settings'!$C$9,$W24&lt;'⚙️ Settings'!$C$10)))</f>
        <v>0</v>
      </c>
      <c r="AA24" s="84" t="b">
        <f>IF($S24="","",AND('📦 Subscriptions'!$J13="Active",OR($X24="Downgrade",$X24="Switch to Annual")))</f>
        <v>0</v>
      </c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26.45">
      <c r="A25" s="1"/>
      <c r="B25" s="84" t="s">
        <v>91</v>
      </c>
      <c r="C25" s="8">
        <v>2.99</v>
      </c>
      <c r="D25" s="8">
        <f>IFERROR(VLOOKUP($B25,'📦 Subscriptions'!$B$6:$G$205,6,FALSE),"")</f>
        <v>2.99</v>
      </c>
      <c r="E25" s="11">
        <f t="shared" si="0"/>
        <v>0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84" t="str">
        <f>'📦 Subscriptions'!$B14</f>
        <v>☁️ iCloud+</v>
      </c>
      <c r="T25" s="84" t="str">
        <f>'📦 Subscriptions'!$C14</f>
        <v>Cloud</v>
      </c>
      <c r="U25" s="8">
        <f>'📦 Subscriptions'!$G14</f>
        <v>2.99</v>
      </c>
      <c r="V25" s="5">
        <f>'📦 Subscriptions'!$L14</f>
        <v>46166</v>
      </c>
      <c r="W25" s="6">
        <f>'📦 Subscriptions'!$M14</f>
        <v>0.96</v>
      </c>
      <c r="X25" s="84" t="str">
        <f>'📦 Subscriptions'!$N14</f>
        <v>Keep</v>
      </c>
      <c r="Y25" s="84" t="b">
        <f>IF($S25="","",AND('📦 Subscriptions'!$J14="Active",COUNTIFS('📦 Subscriptions'!$C$6:$C$205,$T25,'📦 Subscriptions'!$J$6:$J$205,"Active")&gt;1,$U25&gt;0))</f>
        <v>1</v>
      </c>
      <c r="Z25" s="84" t="b">
        <f>IF($S25="","",AND('📦 Subscriptions'!$J14="Active",OR('⚙️ Settings'!$C$7-$V25&gt;='⚙️ Settings'!$C$9,$W25&lt;'⚙️ Settings'!$C$10)))</f>
        <v>0</v>
      </c>
      <c r="AA25" s="84" t="b">
        <f>IF($S25="","",AND('📦 Subscriptions'!$J14="Active",OR($X25="Downgrade",$X25="Switch to Annual")))</f>
        <v>0</v>
      </c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26.45">
      <c r="A26" s="1"/>
      <c r="B26" s="84" t="s">
        <v>93</v>
      </c>
      <c r="C26" s="8">
        <v>5.99</v>
      </c>
      <c r="D26" s="8">
        <f>IFERROR(VLOOKUP($B26,'📦 Subscriptions'!$B$6:$G$205,6,FALSE),"")</f>
        <v>5.9899999999999993</v>
      </c>
      <c r="E26" s="11">
        <f t="shared" si="0"/>
        <v>-1.1102230246251565E-16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84" t="str">
        <f>'📦 Subscriptions'!$B15</f>
        <v>🔐 NordVPN</v>
      </c>
      <c r="T26" s="84" t="str">
        <f>'📦 Subscriptions'!$C15</f>
        <v>Utilities</v>
      </c>
      <c r="U26" s="8">
        <f>'📦 Subscriptions'!$G15</f>
        <v>5.9899999999999993</v>
      </c>
      <c r="V26" s="5">
        <f>'📦 Subscriptions'!$L15</f>
        <v>46130</v>
      </c>
      <c r="W26" s="6">
        <f>'📦 Subscriptions'!$M15</f>
        <v>0.31</v>
      </c>
      <c r="X26" s="84" t="str">
        <f>'📦 Subscriptions'!$N15</f>
        <v>Cancel</v>
      </c>
      <c r="Y26" s="84" t="b">
        <f>IF($S26="","",AND('📦 Subscriptions'!$J15="Active",COUNTIFS('📦 Subscriptions'!$C$6:$C$205,$T26,'📦 Subscriptions'!$J$6:$J$205,"Active")&gt;1,$U26&gt;0))</f>
        <v>0</v>
      </c>
      <c r="Z26" s="84" t="b">
        <f>IF($S26="","",AND('📦 Subscriptions'!$J15="Active",OR('⚙️ Settings'!$C$7-$V26&gt;='⚙️ Settings'!$C$9,$W26&lt;'⚙️ Settings'!$C$10)))</f>
        <v>1</v>
      </c>
      <c r="AA26" s="84" t="b">
        <f>IF($S26="","",AND('📦 Subscriptions'!$J15="Active",OR($X26="Downgrade",$X26="Switch to Annual")))</f>
        <v>0</v>
      </c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26.45">
      <c r="A27" s="1"/>
      <c r="B27" s="84" t="s">
        <v>97</v>
      </c>
      <c r="C27" s="8">
        <v>15.14</v>
      </c>
      <c r="D27" s="8">
        <f>IFERROR(VLOOKUP($B27,'📦 Subscriptions'!$B$6:$G$205,6,FALSE),"")</f>
        <v>15.14</v>
      </c>
      <c r="E27" s="11">
        <f t="shared" si="0"/>
        <v>0</v>
      </c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84" t="str">
        <f>'📦 Subscriptions'!$B16</f>
        <v>🎓 Skillshare</v>
      </c>
      <c r="T27" s="84" t="str">
        <f>'📦 Subscriptions'!$C16</f>
        <v>Education</v>
      </c>
      <c r="U27" s="8">
        <f>'📦 Subscriptions'!$G16</f>
        <v>15.14</v>
      </c>
      <c r="V27" s="5">
        <f>'📦 Subscriptions'!$L16</f>
        <v>46109</v>
      </c>
      <c r="W27" s="6">
        <f>'📦 Subscriptions'!$M16</f>
        <v>0.18</v>
      </c>
      <c r="X27" s="84" t="str">
        <f>'📦 Subscriptions'!$N16</f>
        <v>Cancel</v>
      </c>
      <c r="Y27" s="84" t="b">
        <f>IF($S27="","",AND('📦 Subscriptions'!$J16="Active",COUNTIFS('📦 Subscriptions'!$C$6:$C$205,$T27,'📦 Subscriptions'!$J$6:$J$205,"Active")&gt;1,$U27&gt;0))</f>
        <v>0</v>
      </c>
      <c r="Z27" s="84" t="b">
        <f>IF($S27="","",AND('📦 Subscriptions'!$J16="Active",OR('⚙️ Settings'!$C$7-$V27&gt;='⚙️ Settings'!$C$9,$W27&lt;'⚙️ Settings'!$C$10)))</f>
        <v>1</v>
      </c>
      <c r="AA27" s="84" t="b">
        <f>IF($S27="","",AND('📦 Subscriptions'!$J16="Active",OR($X27="Downgrade",$X27="Switch to Annual")))</f>
        <v>0</v>
      </c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39.6">
      <c r="A28" s="1"/>
      <c r="B28" s="84" t="s">
        <v>167</v>
      </c>
      <c r="C28" s="8">
        <v>12</v>
      </c>
      <c r="D28" s="8" t="str">
        <f>IFERROR(VLOOKUP($B28,'📦 Subscriptions'!$B$6:$G$205,6,FALSE),"")</f>
        <v/>
      </c>
      <c r="E28" s="11" t="str">
        <f t="shared" si="0"/>
        <v/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84">
        <f>'📦 Subscriptions'!$B17</f>
        <v>0</v>
      </c>
      <c r="T28" s="84">
        <f>'📦 Subscriptions'!$C17</f>
        <v>0</v>
      </c>
      <c r="U28" s="8">
        <f>'📦 Subscriptions'!$G17</f>
        <v>0</v>
      </c>
      <c r="V28" s="5">
        <f>'📦 Subscriptions'!$L17</f>
        <v>0</v>
      </c>
      <c r="W28" s="6">
        <f>'📦 Subscriptions'!$M17</f>
        <v>0</v>
      </c>
      <c r="X28" s="84">
        <f>'📦 Subscriptions'!$N17</f>
        <v>0</v>
      </c>
      <c r="Y28" s="84" t="b">
        <f>IF($S28="","",AND('📦 Subscriptions'!$J17="Active",COUNTIFS('📦 Subscriptions'!$C$6:$C$205,$T28,'📦 Subscriptions'!$J$6:$J$205,"Active")&gt;1,$U28&gt;0))</f>
        <v>0</v>
      </c>
      <c r="Z28" s="84" t="b">
        <f>IF($S28="","",AND('📦 Subscriptions'!$J17="Active",OR('⚙️ Settings'!$C$7-$V28&gt;='⚙️ Settings'!$C$9,$W28&lt;'⚙️ Settings'!$C$10)))</f>
        <v>0</v>
      </c>
      <c r="AA28" s="84" t="b">
        <f>IF($S28="","",AND('📦 Subscriptions'!$J17="Active",OR($X28="Downgrade",$X28="Switch to Annual")))</f>
        <v>0</v>
      </c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84">
        <f>'📦 Subscriptions'!$B18</f>
        <v>0</v>
      </c>
      <c r="T29" s="84">
        <f>'📦 Subscriptions'!$C18</f>
        <v>0</v>
      </c>
      <c r="U29" s="8" t="str">
        <f>'📦 Subscriptions'!$G18</f>
        <v/>
      </c>
      <c r="V29" s="5">
        <f>'📦 Subscriptions'!$L18</f>
        <v>0</v>
      </c>
      <c r="W29" s="6">
        <f>'📦 Subscriptions'!$M18</f>
        <v>0</v>
      </c>
      <c r="X29" s="84">
        <f>'📦 Subscriptions'!$N18</f>
        <v>0</v>
      </c>
      <c r="Y29" s="84" t="b">
        <f>IF($S29="","",AND('📦 Subscriptions'!$J18="Active",COUNTIFS('📦 Subscriptions'!$C$6:$C$205,$T29,'📦 Subscriptions'!$J$6:$J$205,"Active")&gt;1,$U29&gt;0))</f>
        <v>0</v>
      </c>
      <c r="Z29" s="84" t="b">
        <f>IF($S29="","",AND('📦 Subscriptions'!$J18="Active",OR('⚙️ Settings'!$C$7-$V29&gt;='⚙️ Settings'!$C$9,$W29&lt;'⚙️ Settings'!$C$10)))</f>
        <v>0</v>
      </c>
      <c r="AA29" s="84" t="b">
        <f>IF($S29="","",AND('📦 Subscriptions'!$J18="Active",OR($X29="Downgrade",$X29="Switch to Annual")))</f>
        <v>0</v>
      </c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84">
        <f>'📦 Subscriptions'!$B19</f>
        <v>0</v>
      </c>
      <c r="T30" s="84">
        <f>'📦 Subscriptions'!$C19</f>
        <v>0</v>
      </c>
      <c r="U30" s="8" t="str">
        <f>'📦 Subscriptions'!$G19</f>
        <v/>
      </c>
      <c r="V30" s="5">
        <f>'📦 Subscriptions'!$L19</f>
        <v>0</v>
      </c>
      <c r="W30" s="6">
        <f>'📦 Subscriptions'!$M19</f>
        <v>0</v>
      </c>
      <c r="X30" s="84">
        <f>'📦 Subscriptions'!$N19</f>
        <v>0</v>
      </c>
      <c r="Y30" s="84" t="b">
        <f>IF($S30="","",AND('📦 Subscriptions'!$J19="Active",COUNTIFS('📦 Subscriptions'!$C$6:$C$205,$T30,'📦 Subscriptions'!$J$6:$J$205,"Active")&gt;1,$U30&gt;0))</f>
        <v>0</v>
      </c>
      <c r="Z30" s="84" t="b">
        <f>IF($S30="","",AND('📦 Subscriptions'!$J19="Active",OR('⚙️ Settings'!$C$7-$V30&gt;='⚙️ Settings'!$C$9,$W30&lt;'⚙️ Settings'!$C$10)))</f>
        <v>0</v>
      </c>
      <c r="AA30" s="84" t="b">
        <f>IF($S30="","",AND('📦 Subscriptions'!$J19="Active",OR($X30="Downgrade",$X30="Switch to Annual")))</f>
        <v>0</v>
      </c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84">
        <f>'📦 Subscriptions'!$B20</f>
        <v>0</v>
      </c>
      <c r="T31" s="84">
        <f>'📦 Subscriptions'!$C20</f>
        <v>0</v>
      </c>
      <c r="U31" s="8" t="str">
        <f>'📦 Subscriptions'!$G20</f>
        <v/>
      </c>
      <c r="V31" s="5">
        <f>'📦 Subscriptions'!$L20</f>
        <v>0</v>
      </c>
      <c r="W31" s="6">
        <f>'📦 Subscriptions'!$M20</f>
        <v>0</v>
      </c>
      <c r="X31" s="84">
        <f>'📦 Subscriptions'!$N20</f>
        <v>0</v>
      </c>
      <c r="Y31" s="84" t="b">
        <f>IF($S31="","",AND('📦 Subscriptions'!$J20="Active",COUNTIFS('📦 Subscriptions'!$C$6:$C$205,$T31,'📦 Subscriptions'!$J$6:$J$205,"Active")&gt;1,$U31&gt;0))</f>
        <v>0</v>
      </c>
      <c r="Z31" s="84" t="b">
        <f>IF($S31="","",AND('📦 Subscriptions'!$J20="Active",OR('⚙️ Settings'!$C$7-$V31&gt;='⚙️ Settings'!$C$9,$W31&lt;'⚙️ Settings'!$C$10)))</f>
        <v>0</v>
      </c>
      <c r="AA31" s="84" t="b">
        <f>IF($S31="","",AND('📦 Subscriptions'!$J20="Active",OR($X31="Downgrade",$X31="Switch to Annual")))</f>
        <v>0</v>
      </c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>
      <c r="A32" s="1"/>
      <c r="B32" s="4" t="s">
        <v>117</v>
      </c>
      <c r="C32" s="4" t="s">
        <v>194</v>
      </c>
      <c r="D32" s="4" t="s">
        <v>195</v>
      </c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84">
        <f>'📦 Subscriptions'!$B21</f>
        <v>0</v>
      </c>
      <c r="T32" s="84">
        <f>'📦 Subscriptions'!$C21</f>
        <v>0</v>
      </c>
      <c r="U32" s="8" t="str">
        <f>'📦 Subscriptions'!$G21</f>
        <v/>
      </c>
      <c r="V32" s="5">
        <f>'📦 Subscriptions'!$L21</f>
        <v>0</v>
      </c>
      <c r="W32" s="6">
        <f>'📦 Subscriptions'!$M21</f>
        <v>0</v>
      </c>
      <c r="X32" s="84">
        <f>'📦 Subscriptions'!$N21</f>
        <v>0</v>
      </c>
      <c r="Y32" s="84" t="b">
        <f>IF($S32="","",AND('📦 Subscriptions'!$J21="Active",COUNTIFS('📦 Subscriptions'!$C$6:$C$205,$T32,'📦 Subscriptions'!$J$6:$J$205,"Active")&gt;1,$U32&gt;0))</f>
        <v>0</v>
      </c>
      <c r="Z32" s="84" t="b">
        <f>IF($S32="","",AND('📦 Subscriptions'!$J21="Active",OR('⚙️ Settings'!$C$7-$V32&gt;='⚙️ Settings'!$C$9,$W32&lt;'⚙️ Settings'!$C$10)))</f>
        <v>0</v>
      </c>
      <c r="AA32" s="84" t="b">
        <f>IF($S32="","",AND('📦 Subscriptions'!$J21="Active",OR($X32="Downgrade",$X32="Switch to Annual")))</f>
        <v>0</v>
      </c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>
      <c r="A33" s="1"/>
      <c r="B33" s="84" t="s">
        <v>24</v>
      </c>
      <c r="C33" s="9">
        <f>INDEX($F$6:$Q$6,1,1)</f>
        <v>174</v>
      </c>
      <c r="D33" s="9">
        <f>INDEX($F$9:$Q$9,1,1)</f>
        <v>2088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84">
        <f>'📦 Subscriptions'!$B22</f>
        <v>0</v>
      </c>
      <c r="T33" s="84">
        <f>'📦 Subscriptions'!$C22</f>
        <v>0</v>
      </c>
      <c r="U33" s="8" t="str">
        <f>'📦 Subscriptions'!$G22</f>
        <v/>
      </c>
      <c r="V33" s="5">
        <f>'📦 Subscriptions'!$L22</f>
        <v>0</v>
      </c>
      <c r="W33" s="6">
        <f>'📦 Subscriptions'!$M22</f>
        <v>0</v>
      </c>
      <c r="X33" s="84">
        <f>'📦 Subscriptions'!$N22</f>
        <v>0</v>
      </c>
      <c r="Y33" s="84" t="b">
        <f>IF($S33="","",AND('📦 Subscriptions'!$J22="Active",COUNTIFS('📦 Subscriptions'!$C$6:$C$205,$T33,'📦 Subscriptions'!$J$6:$J$205,"Active")&gt;1,$U33&gt;0))</f>
        <v>0</v>
      </c>
      <c r="Z33" s="84" t="b">
        <f>IF($S33="","",AND('📦 Subscriptions'!$J22="Active",OR('⚙️ Settings'!$C$7-$V33&gt;='⚙️ Settings'!$C$9,$W33&lt;'⚙️ Settings'!$C$10)))</f>
        <v>0</v>
      </c>
      <c r="AA33" s="84" t="b">
        <f>IF($S33="","",AND('📦 Subscriptions'!$J22="Active",OR($X33="Downgrade",$X33="Switch to Annual")))</f>
        <v>0</v>
      </c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>
      <c r="A34" s="1"/>
      <c r="B34" s="84" t="s">
        <v>25</v>
      </c>
      <c r="C34" s="9">
        <f>INDEX($F$6:$Q$6,1,2)</f>
        <v>181</v>
      </c>
      <c r="D34" s="9">
        <f>INDEX($F$9:$Q$9,1,2)</f>
        <v>2172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84">
        <f>'📦 Subscriptions'!$B23</f>
        <v>0</v>
      </c>
      <c r="T34" s="84">
        <f>'📦 Subscriptions'!$C23</f>
        <v>0</v>
      </c>
      <c r="U34" s="8" t="str">
        <f>'📦 Subscriptions'!$G23</f>
        <v/>
      </c>
      <c r="V34" s="5">
        <f>'📦 Subscriptions'!$L23</f>
        <v>0</v>
      </c>
      <c r="W34" s="6">
        <f>'📦 Subscriptions'!$M23</f>
        <v>0</v>
      </c>
      <c r="X34" s="84">
        <f>'📦 Subscriptions'!$N23</f>
        <v>0</v>
      </c>
      <c r="Y34" s="84" t="b">
        <f>IF($S34="","",AND('📦 Subscriptions'!$J23="Active",COUNTIFS('📦 Subscriptions'!$C$6:$C$205,$T34,'📦 Subscriptions'!$J$6:$J$205,"Active")&gt;1,$U34&gt;0))</f>
        <v>0</v>
      </c>
      <c r="Z34" s="84" t="b">
        <f>IF($S34="","",AND('📦 Subscriptions'!$J23="Active",OR('⚙️ Settings'!$C$7-$V34&gt;='⚙️ Settings'!$C$9,$W34&lt;'⚙️ Settings'!$C$10)))</f>
        <v>0</v>
      </c>
      <c r="AA34" s="84" t="b">
        <f>IF($S34="","",AND('📦 Subscriptions'!$J23="Active",OR($X34="Downgrade",$X34="Switch to Annual")))</f>
        <v>0</v>
      </c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>
      <c r="A35" s="1"/>
      <c r="B35" s="84" t="s">
        <v>26</v>
      </c>
      <c r="C35" s="9">
        <f>INDEX($F$6:$Q$6,1,3)</f>
        <v>185</v>
      </c>
      <c r="D35" s="9">
        <f>INDEX($F$9:$Q$9,1,3)</f>
        <v>2220</v>
      </c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84">
        <f>'📦 Subscriptions'!$B24</f>
        <v>0</v>
      </c>
      <c r="T35" s="84">
        <f>'📦 Subscriptions'!$C24</f>
        <v>0</v>
      </c>
      <c r="U35" s="8" t="str">
        <f>'📦 Subscriptions'!$G24</f>
        <v/>
      </c>
      <c r="V35" s="5">
        <f>'📦 Subscriptions'!$L24</f>
        <v>0</v>
      </c>
      <c r="W35" s="6">
        <f>'📦 Subscriptions'!$M24</f>
        <v>0</v>
      </c>
      <c r="X35" s="84">
        <f>'📦 Subscriptions'!$N24</f>
        <v>0</v>
      </c>
      <c r="Y35" s="84" t="b">
        <f>IF($S35="","",AND('📦 Subscriptions'!$J24="Active",COUNTIFS('📦 Subscriptions'!$C$6:$C$205,$T35,'📦 Subscriptions'!$J$6:$J$205,"Active")&gt;1,$U35&gt;0))</f>
        <v>0</v>
      </c>
      <c r="Z35" s="84" t="b">
        <f>IF($S35="","",AND('📦 Subscriptions'!$J24="Active",OR('⚙️ Settings'!$C$7-$V35&gt;='⚙️ Settings'!$C$9,$W35&lt;'⚙️ Settings'!$C$10)))</f>
        <v>0</v>
      </c>
      <c r="AA35" s="84" t="b">
        <f>IF($S35="","",AND('📦 Subscriptions'!$J24="Active",OR($X35="Downgrade",$X35="Switch to Annual")))</f>
        <v>0</v>
      </c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>
      <c r="A36" s="1"/>
      <c r="B36" s="84" t="s">
        <v>27</v>
      </c>
      <c r="C36" s="9">
        <f>INDEX($F$6:$Q$6,1,4)</f>
        <v>185</v>
      </c>
      <c r="D36" s="9">
        <f>INDEX($F$9:$Q$9,1,4)</f>
        <v>2220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84">
        <f>'📦 Subscriptions'!$B25</f>
        <v>0</v>
      </c>
      <c r="T36" s="84">
        <f>'📦 Subscriptions'!$C25</f>
        <v>0</v>
      </c>
      <c r="U36" s="8" t="str">
        <f>'📦 Subscriptions'!$G25</f>
        <v/>
      </c>
      <c r="V36" s="5">
        <f>'📦 Subscriptions'!$L25</f>
        <v>0</v>
      </c>
      <c r="W36" s="6">
        <f>'📦 Subscriptions'!$M25</f>
        <v>0</v>
      </c>
      <c r="X36" s="84">
        <f>'📦 Subscriptions'!$N25</f>
        <v>0</v>
      </c>
      <c r="Y36" s="84" t="b">
        <f>IF($S36="","",AND('📦 Subscriptions'!$J25="Active",COUNTIFS('📦 Subscriptions'!$C$6:$C$205,$T36,'📦 Subscriptions'!$J$6:$J$205,"Active")&gt;1,$U36&gt;0))</f>
        <v>0</v>
      </c>
      <c r="Z36" s="84" t="b">
        <f>IF($S36="","",AND('📦 Subscriptions'!$J25="Active",OR('⚙️ Settings'!$C$7-$V36&gt;='⚙️ Settings'!$C$9,$W36&lt;'⚙️ Settings'!$C$10)))</f>
        <v>0</v>
      </c>
      <c r="AA36" s="84" t="b">
        <f>IF($S36="","",AND('📦 Subscriptions'!$J25="Active",OR($X36="Downgrade",$X36="Switch to Annual")))</f>
        <v>0</v>
      </c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>
      <c r="A37" s="1"/>
      <c r="B37" s="84" t="s">
        <v>28</v>
      </c>
      <c r="C37" s="9">
        <f>INDEX($F$6:$Q$6,1,5)</f>
        <v>194.58</v>
      </c>
      <c r="D37" s="9">
        <f>INDEX($F$9:$Q$9,1,5)</f>
        <v>2334.96</v>
      </c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84">
        <f>'📦 Subscriptions'!$B26</f>
        <v>0</v>
      </c>
      <c r="T37" s="84">
        <f>'📦 Subscriptions'!$C26</f>
        <v>0</v>
      </c>
      <c r="U37" s="8" t="str">
        <f>'📦 Subscriptions'!$G26</f>
        <v/>
      </c>
      <c r="V37" s="5">
        <f>'📦 Subscriptions'!$L26</f>
        <v>0</v>
      </c>
      <c r="W37" s="6">
        <f>'📦 Subscriptions'!$M26</f>
        <v>0</v>
      </c>
      <c r="X37" s="84">
        <f>'📦 Subscriptions'!$N26</f>
        <v>0</v>
      </c>
      <c r="Y37" s="84" t="b">
        <f>IF($S37="","",AND('📦 Subscriptions'!$J26="Active",COUNTIFS('📦 Subscriptions'!$C$6:$C$205,$T37,'📦 Subscriptions'!$J$6:$J$205,"Active")&gt;1,$U37&gt;0))</f>
        <v>0</v>
      </c>
      <c r="Z37" s="84" t="b">
        <f>IF($S37="","",AND('📦 Subscriptions'!$J26="Active",OR('⚙️ Settings'!$C$7-$V37&gt;='⚙️ Settings'!$C$9,$W37&lt;'⚙️ Settings'!$C$10)))</f>
        <v>0</v>
      </c>
      <c r="AA37" s="84" t="b">
        <f>IF($S37="","",AND('📦 Subscriptions'!$J26="Active",OR($X37="Downgrade",$X37="Switch to Annual")))</f>
        <v>0</v>
      </c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>
      <c r="A38" s="1"/>
      <c r="B38" s="84" t="s">
        <v>29</v>
      </c>
      <c r="C38" s="9">
        <f>INDEX($F$6:$Q$6,1,6)</f>
        <v>199</v>
      </c>
      <c r="D38" s="9">
        <f>INDEX($F$9:$Q$9,1,6)</f>
        <v>2388</v>
      </c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84">
        <f>'📦 Subscriptions'!$B27</f>
        <v>0</v>
      </c>
      <c r="T38" s="84">
        <f>'📦 Subscriptions'!$C27</f>
        <v>0</v>
      </c>
      <c r="U38" s="8" t="str">
        <f>'📦 Subscriptions'!$G27</f>
        <v/>
      </c>
      <c r="V38" s="5">
        <f>'📦 Subscriptions'!$L27</f>
        <v>0</v>
      </c>
      <c r="W38" s="6">
        <f>'📦 Subscriptions'!$M27</f>
        <v>0</v>
      </c>
      <c r="X38" s="84">
        <f>'📦 Subscriptions'!$N27</f>
        <v>0</v>
      </c>
      <c r="Y38" s="84" t="b">
        <f>IF($S38="","",AND('📦 Subscriptions'!$J27="Active",COUNTIFS('📦 Subscriptions'!$C$6:$C$205,$T38,'📦 Subscriptions'!$J$6:$J$205,"Active")&gt;1,$U38&gt;0))</f>
        <v>0</v>
      </c>
      <c r="Z38" s="84" t="b">
        <f>IF($S38="","",AND('📦 Subscriptions'!$J27="Active",OR('⚙️ Settings'!$C$7-$V38&gt;='⚙️ Settings'!$C$9,$W38&lt;'⚙️ Settings'!$C$10)))</f>
        <v>0</v>
      </c>
      <c r="AA38" s="84" t="b">
        <f>IF($S38="","",AND('📦 Subscriptions'!$J27="Active",OR($X38="Downgrade",$X38="Switch to Annual")))</f>
        <v>0</v>
      </c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>
      <c r="A39" s="1"/>
      <c r="B39" s="84" t="s">
        <v>30</v>
      </c>
      <c r="C39" s="9">
        <f>INDEX($F$6:$Q$6,1,7)</f>
        <v>202</v>
      </c>
      <c r="D39" s="9">
        <f>INDEX($F$9:$Q$9,1,7)</f>
        <v>2424</v>
      </c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84">
        <f>'📦 Subscriptions'!$B28</f>
        <v>0</v>
      </c>
      <c r="T39" s="84">
        <f>'📦 Subscriptions'!$C28</f>
        <v>0</v>
      </c>
      <c r="U39" s="8" t="str">
        <f>'📦 Subscriptions'!$G28</f>
        <v/>
      </c>
      <c r="V39" s="5">
        <f>'📦 Subscriptions'!$L28</f>
        <v>0</v>
      </c>
      <c r="W39" s="6">
        <f>'📦 Subscriptions'!$M28</f>
        <v>0</v>
      </c>
      <c r="X39" s="84">
        <f>'📦 Subscriptions'!$N28</f>
        <v>0</v>
      </c>
      <c r="Y39" s="84" t="b">
        <f>IF($S39="","",AND('📦 Subscriptions'!$J28="Active",COUNTIFS('📦 Subscriptions'!$C$6:$C$205,$T39,'📦 Subscriptions'!$J$6:$J$205,"Active")&gt;1,$U39&gt;0))</f>
        <v>0</v>
      </c>
      <c r="Z39" s="84" t="b">
        <f>IF($S39="","",AND('📦 Subscriptions'!$J28="Active",OR('⚙️ Settings'!$C$7-$V39&gt;='⚙️ Settings'!$C$9,$W39&lt;'⚙️ Settings'!$C$10)))</f>
        <v>0</v>
      </c>
      <c r="AA39" s="84" t="b">
        <f>IF($S39="","",AND('📦 Subscriptions'!$J28="Active",OR($X39="Downgrade",$X39="Switch to Annual")))</f>
        <v>0</v>
      </c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>
      <c r="A40" s="1"/>
      <c r="B40" s="84" t="s">
        <v>31</v>
      </c>
      <c r="C40" s="9">
        <f>INDEX($F$6:$Q$6,1,8)</f>
        <v>204</v>
      </c>
      <c r="D40" s="9">
        <f>INDEX($F$9:$Q$9,1,8)</f>
        <v>2448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84">
        <f>'📦 Subscriptions'!$B29</f>
        <v>0</v>
      </c>
      <c r="T40" s="84">
        <f>'📦 Subscriptions'!$C29</f>
        <v>0</v>
      </c>
      <c r="U40" s="8" t="str">
        <f>'📦 Subscriptions'!$G29</f>
        <v/>
      </c>
      <c r="V40" s="5">
        <f>'📦 Subscriptions'!$L29</f>
        <v>0</v>
      </c>
      <c r="W40" s="6">
        <f>'📦 Subscriptions'!$M29</f>
        <v>0</v>
      </c>
      <c r="X40" s="84">
        <f>'📦 Subscriptions'!$N29</f>
        <v>0</v>
      </c>
      <c r="Y40" s="84" t="b">
        <f>IF($S40="","",AND('📦 Subscriptions'!$J29="Active",COUNTIFS('📦 Subscriptions'!$C$6:$C$205,$T40,'📦 Subscriptions'!$J$6:$J$205,"Active")&gt;1,$U40&gt;0))</f>
        <v>0</v>
      </c>
      <c r="Z40" s="84" t="b">
        <f>IF($S40="","",AND('📦 Subscriptions'!$J29="Active",OR('⚙️ Settings'!$C$7-$V40&gt;='⚙️ Settings'!$C$9,$W40&lt;'⚙️ Settings'!$C$10)))</f>
        <v>0</v>
      </c>
      <c r="AA40" s="84" t="b">
        <f>IF($S40="","",AND('📦 Subscriptions'!$J29="Active",OR($X40="Downgrade",$X40="Switch to Annual")))</f>
        <v>0</v>
      </c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>
      <c r="A41" s="1"/>
      <c r="B41" s="84" t="s">
        <v>32</v>
      </c>
      <c r="C41" s="9">
        <f>INDEX($F$6:$Q$6,1,9)</f>
        <v>203</v>
      </c>
      <c r="D41" s="9">
        <f>INDEX($F$9:$Q$9,1,9)</f>
        <v>2436</v>
      </c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84">
        <f>'📦 Subscriptions'!$B30</f>
        <v>0</v>
      </c>
      <c r="T41" s="84">
        <f>'📦 Subscriptions'!$C30</f>
        <v>0</v>
      </c>
      <c r="U41" s="8" t="str">
        <f>'📦 Subscriptions'!$G30</f>
        <v/>
      </c>
      <c r="V41" s="5">
        <f>'📦 Subscriptions'!$L30</f>
        <v>0</v>
      </c>
      <c r="W41" s="6">
        <f>'📦 Subscriptions'!$M30</f>
        <v>0</v>
      </c>
      <c r="X41" s="84">
        <f>'📦 Subscriptions'!$N30</f>
        <v>0</v>
      </c>
      <c r="Y41" s="84" t="b">
        <f>IF($S41="","",AND('📦 Subscriptions'!$J30="Active",COUNTIFS('📦 Subscriptions'!$C$6:$C$205,$T41,'📦 Subscriptions'!$J$6:$J$205,"Active")&gt;1,$U41&gt;0))</f>
        <v>0</v>
      </c>
      <c r="Z41" s="84" t="b">
        <f>IF($S41="","",AND('📦 Subscriptions'!$J30="Active",OR('⚙️ Settings'!$C$7-$V41&gt;='⚙️ Settings'!$C$9,$W41&lt;'⚙️ Settings'!$C$10)))</f>
        <v>0</v>
      </c>
      <c r="AA41" s="84" t="b">
        <f>IF($S41="","",AND('📦 Subscriptions'!$J30="Active",OR($X41="Downgrade",$X41="Switch to Annual")))</f>
        <v>0</v>
      </c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>
      <c r="A42" s="1"/>
      <c r="B42" s="84" t="s">
        <v>33</v>
      </c>
      <c r="C42" s="9">
        <f>INDEX($F$6:$Q$6,1,10)</f>
        <v>211</v>
      </c>
      <c r="D42" s="9">
        <f>INDEX($F$9:$Q$9,1,10)</f>
        <v>2532</v>
      </c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84">
        <f>'📦 Subscriptions'!$B31</f>
        <v>0</v>
      </c>
      <c r="T42" s="84">
        <f>'📦 Subscriptions'!$C31</f>
        <v>0</v>
      </c>
      <c r="U42" s="8" t="str">
        <f>'📦 Subscriptions'!$G31</f>
        <v/>
      </c>
      <c r="V42" s="5">
        <f>'📦 Subscriptions'!$L31</f>
        <v>0</v>
      </c>
      <c r="W42" s="6">
        <f>'📦 Subscriptions'!$M31</f>
        <v>0</v>
      </c>
      <c r="X42" s="84">
        <f>'📦 Subscriptions'!$N31</f>
        <v>0</v>
      </c>
      <c r="Y42" s="84" t="b">
        <f>IF($S42="","",AND('📦 Subscriptions'!$J31="Active",COUNTIFS('📦 Subscriptions'!$C$6:$C$205,$T42,'📦 Subscriptions'!$J$6:$J$205,"Active")&gt;1,$U42&gt;0))</f>
        <v>0</v>
      </c>
      <c r="Z42" s="84" t="b">
        <f>IF($S42="","",AND('📦 Subscriptions'!$J31="Active",OR('⚙️ Settings'!$C$7-$V42&gt;='⚙️ Settings'!$C$9,$W42&lt;'⚙️ Settings'!$C$10)))</f>
        <v>0</v>
      </c>
      <c r="AA42" s="84" t="b">
        <f>IF($S42="","",AND('📦 Subscriptions'!$J31="Active",OR($X42="Downgrade",$X42="Switch to Annual")))</f>
        <v>0</v>
      </c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>
      <c r="A43" s="1"/>
      <c r="B43" s="84" t="s">
        <v>34</v>
      </c>
      <c r="C43" s="9">
        <f>INDEX($F$6:$Q$6,1,11)</f>
        <v>214</v>
      </c>
      <c r="D43" s="9">
        <f>INDEX($F$9:$Q$9,1,11)</f>
        <v>2568</v>
      </c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84">
        <f>'📦 Subscriptions'!$B32</f>
        <v>0</v>
      </c>
      <c r="T43" s="84">
        <f>'📦 Subscriptions'!$C32</f>
        <v>0</v>
      </c>
      <c r="U43" s="8" t="str">
        <f>'📦 Subscriptions'!$G32</f>
        <v/>
      </c>
      <c r="V43" s="5">
        <f>'📦 Subscriptions'!$L32</f>
        <v>0</v>
      </c>
      <c r="W43" s="6">
        <f>'📦 Subscriptions'!$M32</f>
        <v>0</v>
      </c>
      <c r="X43" s="84">
        <f>'📦 Subscriptions'!$N32</f>
        <v>0</v>
      </c>
      <c r="Y43" s="84" t="b">
        <f>IF($S43="","",AND('📦 Subscriptions'!$J32="Active",COUNTIFS('📦 Subscriptions'!$C$6:$C$205,$T43,'📦 Subscriptions'!$J$6:$J$205,"Active")&gt;1,$U43&gt;0))</f>
        <v>0</v>
      </c>
      <c r="Z43" s="84" t="b">
        <f>IF($S43="","",AND('📦 Subscriptions'!$J32="Active",OR('⚙️ Settings'!$C$7-$V43&gt;='⚙️ Settings'!$C$9,$W43&lt;'⚙️ Settings'!$C$10)))</f>
        <v>0</v>
      </c>
      <c r="AA43" s="84" t="b">
        <f>IF($S43="","",AND('📦 Subscriptions'!$J32="Active",OR($X43="Downgrade",$X43="Switch to Annual")))</f>
        <v>0</v>
      </c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>
      <c r="A44" s="1"/>
      <c r="B44" s="84" t="s">
        <v>35</v>
      </c>
      <c r="C44" s="9">
        <f>INDEX($F$6:$Q$6,1,12)</f>
        <v>218</v>
      </c>
      <c r="D44" s="9">
        <f>INDEX($F$9:$Q$9,1,12)</f>
        <v>2616</v>
      </c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84">
        <f>'📦 Subscriptions'!$B33</f>
        <v>0</v>
      </c>
      <c r="T44" s="84">
        <f>'📦 Subscriptions'!$C33</f>
        <v>0</v>
      </c>
      <c r="U44" s="8" t="str">
        <f>'📦 Subscriptions'!$G33</f>
        <v/>
      </c>
      <c r="V44" s="5">
        <f>'📦 Subscriptions'!$L33</f>
        <v>0</v>
      </c>
      <c r="W44" s="6">
        <f>'📦 Subscriptions'!$M33</f>
        <v>0</v>
      </c>
      <c r="X44" s="84">
        <f>'📦 Subscriptions'!$N33</f>
        <v>0</v>
      </c>
      <c r="Y44" s="84" t="b">
        <f>IF($S44="","",AND('📦 Subscriptions'!$J33="Active",COUNTIFS('📦 Subscriptions'!$C$6:$C$205,$T44,'📦 Subscriptions'!$J$6:$J$205,"Active")&gt;1,$U44&gt;0))</f>
        <v>0</v>
      </c>
      <c r="Z44" s="84" t="b">
        <f>IF($S44="","",AND('📦 Subscriptions'!$J33="Active",OR('⚙️ Settings'!$C$7-$V44&gt;='⚙️ Settings'!$C$9,$W44&lt;'⚙️ Settings'!$C$10)))</f>
        <v>0</v>
      </c>
      <c r="AA44" s="84" t="b">
        <f>IF($S44="","",AND('📦 Subscriptions'!$J33="Active",OR($X44="Downgrade",$X44="Switch to Annual")))</f>
        <v>0</v>
      </c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84">
        <f>'📦 Subscriptions'!$B34</f>
        <v>0</v>
      </c>
      <c r="T45" s="84">
        <f>'📦 Subscriptions'!$C34</f>
        <v>0</v>
      </c>
      <c r="U45" s="8" t="str">
        <f>'📦 Subscriptions'!$G34</f>
        <v/>
      </c>
      <c r="V45" s="5">
        <f>'📦 Subscriptions'!$L34</f>
        <v>0</v>
      </c>
      <c r="W45" s="6">
        <f>'📦 Subscriptions'!$M34</f>
        <v>0</v>
      </c>
      <c r="X45" s="84">
        <f>'📦 Subscriptions'!$N34</f>
        <v>0</v>
      </c>
      <c r="Y45" s="84" t="b">
        <f>IF($S45="","",AND('📦 Subscriptions'!$J34="Active",COUNTIFS('📦 Subscriptions'!$C$6:$C$205,$T45,'📦 Subscriptions'!$J$6:$J$205,"Active")&gt;1,$U45&gt;0))</f>
        <v>0</v>
      </c>
      <c r="Z45" s="84" t="b">
        <f>IF($S45="","",AND('📦 Subscriptions'!$J34="Active",OR('⚙️ Settings'!$C$7-$V45&gt;='⚙️ Settings'!$C$9,$W45&lt;'⚙️ Settings'!$C$10)))</f>
        <v>0</v>
      </c>
      <c r="AA45" s="84" t="b">
        <f>IF($S45="","",AND('📦 Subscriptions'!$J34="Active",OR($X45="Downgrade",$X45="Switch to Annual")))</f>
        <v>0</v>
      </c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84">
        <f>'📦 Subscriptions'!$B35</f>
        <v>0</v>
      </c>
      <c r="T46" s="84">
        <f>'📦 Subscriptions'!$C35</f>
        <v>0</v>
      </c>
      <c r="U46" s="8" t="str">
        <f>'📦 Subscriptions'!$G35</f>
        <v/>
      </c>
      <c r="V46" s="5">
        <f>'📦 Subscriptions'!$L35</f>
        <v>0</v>
      </c>
      <c r="W46" s="6">
        <f>'📦 Subscriptions'!$M35</f>
        <v>0</v>
      </c>
      <c r="X46" s="84">
        <f>'📦 Subscriptions'!$N35</f>
        <v>0</v>
      </c>
      <c r="Y46" s="84" t="b">
        <f>IF($S46="","",AND('📦 Subscriptions'!$J35="Active",COUNTIFS('📦 Subscriptions'!$C$6:$C$205,$T46,'📦 Subscriptions'!$J$6:$J$205,"Active")&gt;1,$U46&gt;0))</f>
        <v>0</v>
      </c>
      <c r="Z46" s="84" t="b">
        <f>IF($S46="","",AND('📦 Subscriptions'!$J35="Active",OR('⚙️ Settings'!$C$7-$V46&gt;='⚙️ Settings'!$C$9,$W46&lt;'⚙️ Settings'!$C$10)))</f>
        <v>0</v>
      </c>
      <c r="AA46" s="84" t="b">
        <f>IF($S46="","",AND('📦 Subscriptions'!$J35="Active",OR($X46="Downgrade",$X46="Switch to Annual")))</f>
        <v>0</v>
      </c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84">
        <f>'📦 Subscriptions'!$B36</f>
        <v>0</v>
      </c>
      <c r="T47" s="84">
        <f>'📦 Subscriptions'!$C36</f>
        <v>0</v>
      </c>
      <c r="U47" s="8" t="str">
        <f>'📦 Subscriptions'!$G36</f>
        <v/>
      </c>
      <c r="V47" s="5">
        <f>'📦 Subscriptions'!$L36</f>
        <v>0</v>
      </c>
      <c r="W47" s="6">
        <f>'📦 Subscriptions'!$M36</f>
        <v>0</v>
      </c>
      <c r="X47" s="84">
        <f>'📦 Subscriptions'!$N36</f>
        <v>0</v>
      </c>
      <c r="Y47" s="84" t="b">
        <f>IF($S47="","",AND('📦 Subscriptions'!$J36="Active",COUNTIFS('📦 Subscriptions'!$C$6:$C$205,$T47,'📦 Subscriptions'!$J$6:$J$205,"Active")&gt;1,$U47&gt;0))</f>
        <v>0</v>
      </c>
      <c r="Z47" s="84" t="b">
        <f>IF($S47="","",AND('📦 Subscriptions'!$J36="Active",OR('⚙️ Settings'!$C$7-$V47&gt;='⚙️ Settings'!$C$9,$W47&lt;'⚙️ Settings'!$C$10)))</f>
        <v>0</v>
      </c>
      <c r="AA47" s="84" t="b">
        <f>IF($S47="","",AND('📦 Subscriptions'!$J36="Active",OR($X47="Downgrade",$X47="Switch to Annual")))</f>
        <v>0</v>
      </c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84">
        <f>'📦 Subscriptions'!$B37</f>
        <v>0</v>
      </c>
      <c r="T48" s="84">
        <f>'📦 Subscriptions'!$C37</f>
        <v>0</v>
      </c>
      <c r="U48" s="8" t="str">
        <f>'📦 Subscriptions'!$G37</f>
        <v/>
      </c>
      <c r="V48" s="5">
        <f>'📦 Subscriptions'!$L37</f>
        <v>0</v>
      </c>
      <c r="W48" s="6">
        <f>'📦 Subscriptions'!$M37</f>
        <v>0</v>
      </c>
      <c r="X48" s="84">
        <f>'📦 Subscriptions'!$N37</f>
        <v>0</v>
      </c>
      <c r="Y48" s="84" t="b">
        <f>IF($S48="","",AND('📦 Subscriptions'!$J37="Active",COUNTIFS('📦 Subscriptions'!$C$6:$C$205,$T48,'📦 Subscriptions'!$J$6:$J$205,"Active")&gt;1,$U48&gt;0))</f>
        <v>0</v>
      </c>
      <c r="Z48" s="84" t="b">
        <f>IF($S48="","",AND('📦 Subscriptions'!$J37="Active",OR('⚙️ Settings'!$C$7-$V48&gt;='⚙️ Settings'!$C$9,$W48&lt;'⚙️ Settings'!$C$10)))</f>
        <v>0</v>
      </c>
      <c r="AA48" s="84" t="b">
        <f>IF($S48="","",AND('📦 Subscriptions'!$J37="Active",OR($X48="Downgrade",$X48="Switch to Annual")))</f>
        <v>0</v>
      </c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84">
        <f>'📦 Subscriptions'!$B38</f>
        <v>0</v>
      </c>
      <c r="T49" s="84">
        <f>'📦 Subscriptions'!$C38</f>
        <v>0</v>
      </c>
      <c r="U49" s="8" t="str">
        <f>'📦 Subscriptions'!$G38</f>
        <v/>
      </c>
      <c r="V49" s="5">
        <f>'📦 Subscriptions'!$L38</f>
        <v>0</v>
      </c>
      <c r="W49" s="6">
        <f>'📦 Subscriptions'!$M38</f>
        <v>0</v>
      </c>
      <c r="X49" s="84">
        <f>'📦 Subscriptions'!$N38</f>
        <v>0</v>
      </c>
      <c r="Y49" s="84" t="b">
        <f>IF($S49="","",AND('📦 Subscriptions'!$J38="Active",COUNTIFS('📦 Subscriptions'!$C$6:$C$205,$T49,'📦 Subscriptions'!$J$6:$J$205,"Active")&gt;1,$U49&gt;0))</f>
        <v>0</v>
      </c>
      <c r="Z49" s="84" t="b">
        <f>IF($S49="","",AND('📦 Subscriptions'!$J38="Active",OR('⚙️ Settings'!$C$7-$V49&gt;='⚙️ Settings'!$C$9,$W49&lt;'⚙️ Settings'!$C$10)))</f>
        <v>0</v>
      </c>
      <c r="AA49" s="84" t="b">
        <f>IF($S49="","",AND('📦 Subscriptions'!$J38="Active",OR($X49="Downgrade",$X49="Switch to Annual")))</f>
        <v>0</v>
      </c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84">
        <f>'📦 Subscriptions'!$B39</f>
        <v>0</v>
      </c>
      <c r="T50" s="84">
        <f>'📦 Subscriptions'!$C39</f>
        <v>0</v>
      </c>
      <c r="U50" s="8" t="str">
        <f>'📦 Subscriptions'!$G39</f>
        <v/>
      </c>
      <c r="V50" s="5">
        <f>'📦 Subscriptions'!$L39</f>
        <v>0</v>
      </c>
      <c r="W50" s="6">
        <f>'📦 Subscriptions'!$M39</f>
        <v>0</v>
      </c>
      <c r="X50" s="84">
        <f>'📦 Subscriptions'!$N39</f>
        <v>0</v>
      </c>
      <c r="Y50" s="84" t="b">
        <f>IF($S50="","",AND('📦 Subscriptions'!$J39="Active",COUNTIFS('📦 Subscriptions'!$C$6:$C$205,$T50,'📦 Subscriptions'!$J$6:$J$205,"Active")&gt;1,$U50&gt;0))</f>
        <v>0</v>
      </c>
      <c r="Z50" s="84" t="b">
        <f>IF($S50="","",AND('📦 Subscriptions'!$J39="Active",OR('⚙️ Settings'!$C$7-$V50&gt;='⚙️ Settings'!$C$9,$W50&lt;'⚙️ Settings'!$C$10)))</f>
        <v>0</v>
      </c>
      <c r="AA50" s="84" t="b">
        <f>IF($S50="","",AND('📦 Subscriptions'!$J39="Active",OR($X50="Downgrade",$X50="Switch to Annual")))</f>
        <v>0</v>
      </c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84">
        <f>'📦 Subscriptions'!$B40</f>
        <v>0</v>
      </c>
      <c r="T51" s="84">
        <f>'📦 Subscriptions'!$C40</f>
        <v>0</v>
      </c>
      <c r="U51" s="8" t="str">
        <f>'📦 Subscriptions'!$G40</f>
        <v/>
      </c>
      <c r="V51" s="5">
        <f>'📦 Subscriptions'!$L40</f>
        <v>0</v>
      </c>
      <c r="W51" s="6">
        <f>'📦 Subscriptions'!$M40</f>
        <v>0</v>
      </c>
      <c r="X51" s="84">
        <f>'📦 Subscriptions'!$N40</f>
        <v>0</v>
      </c>
      <c r="Y51" s="84" t="b">
        <f>IF($S51="","",AND('📦 Subscriptions'!$J40="Active",COUNTIFS('📦 Subscriptions'!$C$6:$C$205,$T51,'📦 Subscriptions'!$J$6:$J$205,"Active")&gt;1,$U51&gt;0))</f>
        <v>0</v>
      </c>
      <c r="Z51" s="84" t="b">
        <f>IF($S51="","",AND('📦 Subscriptions'!$J40="Active",OR('⚙️ Settings'!$C$7-$V51&gt;='⚙️ Settings'!$C$9,$W51&lt;'⚙️ Settings'!$C$10)))</f>
        <v>0</v>
      </c>
      <c r="AA51" s="84" t="b">
        <f>IF($S51="","",AND('📦 Subscriptions'!$J40="Active",OR($X51="Downgrade",$X51="Switch to Annual")))</f>
        <v>0</v>
      </c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84">
        <f>'📦 Subscriptions'!$B41</f>
        <v>0</v>
      </c>
      <c r="T52" s="84">
        <f>'📦 Subscriptions'!$C41</f>
        <v>0</v>
      </c>
      <c r="U52" s="8" t="str">
        <f>'📦 Subscriptions'!$G41</f>
        <v/>
      </c>
      <c r="V52" s="5">
        <f>'📦 Subscriptions'!$L41</f>
        <v>0</v>
      </c>
      <c r="W52" s="6">
        <f>'📦 Subscriptions'!$M41</f>
        <v>0</v>
      </c>
      <c r="X52" s="84">
        <f>'📦 Subscriptions'!$N41</f>
        <v>0</v>
      </c>
      <c r="Y52" s="84" t="b">
        <f>IF($S52="","",AND('📦 Subscriptions'!$J41="Active",COUNTIFS('📦 Subscriptions'!$C$6:$C$205,$T52,'📦 Subscriptions'!$J$6:$J$205,"Active")&gt;1,$U52&gt;0))</f>
        <v>0</v>
      </c>
      <c r="Z52" s="84" t="b">
        <f>IF($S52="","",AND('📦 Subscriptions'!$J41="Active",OR('⚙️ Settings'!$C$7-$V52&gt;='⚙️ Settings'!$C$9,$W52&lt;'⚙️ Settings'!$C$10)))</f>
        <v>0</v>
      </c>
      <c r="AA52" s="84" t="b">
        <f>IF($S52="","",AND('📦 Subscriptions'!$J41="Active",OR($X52="Downgrade",$X52="Switch to Annual")))</f>
        <v>0</v>
      </c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1:37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84">
        <f>'📦 Subscriptions'!$B42</f>
        <v>0</v>
      </c>
      <c r="T53" s="84">
        <f>'📦 Subscriptions'!$C42</f>
        <v>0</v>
      </c>
      <c r="U53" s="8" t="str">
        <f>'📦 Subscriptions'!$G42</f>
        <v/>
      </c>
      <c r="V53" s="5">
        <f>'📦 Subscriptions'!$L42</f>
        <v>0</v>
      </c>
      <c r="W53" s="6">
        <f>'📦 Subscriptions'!$M42</f>
        <v>0</v>
      </c>
      <c r="X53" s="84">
        <f>'📦 Subscriptions'!$N42</f>
        <v>0</v>
      </c>
      <c r="Y53" s="84" t="b">
        <f>IF($S53="","",AND('📦 Subscriptions'!$J42="Active",COUNTIFS('📦 Subscriptions'!$C$6:$C$205,$T53,'📦 Subscriptions'!$J$6:$J$205,"Active")&gt;1,$U53&gt;0))</f>
        <v>0</v>
      </c>
      <c r="Z53" s="84" t="b">
        <f>IF($S53="","",AND('📦 Subscriptions'!$J42="Active",OR('⚙️ Settings'!$C$7-$V53&gt;='⚙️ Settings'!$C$9,$W53&lt;'⚙️ Settings'!$C$10)))</f>
        <v>0</v>
      </c>
      <c r="AA53" s="84" t="b">
        <f>IF($S53="","",AND('📦 Subscriptions'!$J42="Active",OR($X53="Downgrade",$X53="Switch to Annual")))</f>
        <v>0</v>
      </c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1:37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84">
        <f>'📦 Subscriptions'!$B43</f>
        <v>0</v>
      </c>
      <c r="T54" s="84">
        <f>'📦 Subscriptions'!$C43</f>
        <v>0</v>
      </c>
      <c r="U54" s="8" t="str">
        <f>'📦 Subscriptions'!$G43</f>
        <v/>
      </c>
      <c r="V54" s="5">
        <f>'📦 Subscriptions'!$L43</f>
        <v>0</v>
      </c>
      <c r="W54" s="6">
        <f>'📦 Subscriptions'!$M43</f>
        <v>0</v>
      </c>
      <c r="X54" s="84">
        <f>'📦 Subscriptions'!$N43</f>
        <v>0</v>
      </c>
      <c r="Y54" s="84" t="b">
        <f>IF($S54="","",AND('📦 Subscriptions'!$J43="Active",COUNTIFS('📦 Subscriptions'!$C$6:$C$205,$T54,'📦 Subscriptions'!$J$6:$J$205,"Active")&gt;1,$U54&gt;0))</f>
        <v>0</v>
      </c>
      <c r="Z54" s="84" t="b">
        <f>IF($S54="","",AND('📦 Subscriptions'!$J43="Active",OR('⚙️ Settings'!$C$7-$V54&gt;='⚙️ Settings'!$C$9,$W54&lt;'⚙️ Settings'!$C$10)))</f>
        <v>0</v>
      </c>
      <c r="AA54" s="84" t="b">
        <f>IF($S54="","",AND('📦 Subscriptions'!$J43="Active",OR($X54="Downgrade",$X54="Switch to Annual")))</f>
        <v>0</v>
      </c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1:37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84">
        <f>'📦 Subscriptions'!$B44</f>
        <v>0</v>
      </c>
      <c r="T55" s="84">
        <f>'📦 Subscriptions'!$C44</f>
        <v>0</v>
      </c>
      <c r="U55" s="8" t="str">
        <f>'📦 Subscriptions'!$G44</f>
        <v/>
      </c>
      <c r="V55" s="5">
        <f>'📦 Subscriptions'!$L44</f>
        <v>0</v>
      </c>
      <c r="W55" s="6">
        <f>'📦 Subscriptions'!$M44</f>
        <v>0</v>
      </c>
      <c r="X55" s="84">
        <f>'📦 Subscriptions'!$N44</f>
        <v>0</v>
      </c>
      <c r="Y55" s="84" t="b">
        <f>IF($S55="","",AND('📦 Subscriptions'!$J44="Active",COUNTIFS('📦 Subscriptions'!$C$6:$C$205,$T55,'📦 Subscriptions'!$J$6:$J$205,"Active")&gt;1,$U55&gt;0))</f>
        <v>0</v>
      </c>
      <c r="Z55" s="84" t="b">
        <f>IF($S55="","",AND('📦 Subscriptions'!$J44="Active",OR('⚙️ Settings'!$C$7-$V55&gt;='⚙️ Settings'!$C$9,$W55&lt;'⚙️ Settings'!$C$10)))</f>
        <v>0</v>
      </c>
      <c r="AA55" s="84" t="b">
        <f>IF($S55="","",AND('📦 Subscriptions'!$J44="Active",OR($X55="Downgrade",$X55="Switch to Annual")))</f>
        <v>0</v>
      </c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1:37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84">
        <f>'📦 Subscriptions'!$B45</f>
        <v>0</v>
      </c>
      <c r="T56" s="84">
        <f>'📦 Subscriptions'!$C45</f>
        <v>0</v>
      </c>
      <c r="U56" s="8" t="str">
        <f>'📦 Subscriptions'!$G45</f>
        <v/>
      </c>
      <c r="V56" s="5">
        <f>'📦 Subscriptions'!$L45</f>
        <v>0</v>
      </c>
      <c r="W56" s="6">
        <f>'📦 Subscriptions'!$M45</f>
        <v>0</v>
      </c>
      <c r="X56" s="84">
        <f>'📦 Subscriptions'!$N45</f>
        <v>0</v>
      </c>
      <c r="Y56" s="84" t="b">
        <f>IF($S56="","",AND('📦 Subscriptions'!$J45="Active",COUNTIFS('📦 Subscriptions'!$C$6:$C$205,$T56,'📦 Subscriptions'!$J$6:$J$205,"Active")&gt;1,$U56&gt;0))</f>
        <v>0</v>
      </c>
      <c r="Z56" s="84" t="b">
        <f>IF($S56="","",AND('📦 Subscriptions'!$J45="Active",OR('⚙️ Settings'!$C$7-$V56&gt;='⚙️ Settings'!$C$9,$W56&lt;'⚙️ Settings'!$C$10)))</f>
        <v>0</v>
      </c>
      <c r="AA56" s="84" t="b">
        <f>IF($S56="","",AND('📦 Subscriptions'!$J45="Active",OR($X56="Downgrade",$X56="Switch to Annual")))</f>
        <v>0</v>
      </c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1:3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84">
        <f>'📦 Subscriptions'!$B46</f>
        <v>0</v>
      </c>
      <c r="T57" s="84">
        <f>'📦 Subscriptions'!$C46</f>
        <v>0</v>
      </c>
      <c r="U57" s="8" t="str">
        <f>'📦 Subscriptions'!$G46</f>
        <v/>
      </c>
      <c r="V57" s="5">
        <f>'📦 Subscriptions'!$L46</f>
        <v>0</v>
      </c>
      <c r="W57" s="6">
        <f>'📦 Subscriptions'!$M46</f>
        <v>0</v>
      </c>
      <c r="X57" s="84">
        <f>'📦 Subscriptions'!$N46</f>
        <v>0</v>
      </c>
      <c r="Y57" s="84" t="b">
        <f>IF($S57="","",AND('📦 Subscriptions'!$J46="Active",COUNTIFS('📦 Subscriptions'!$C$6:$C$205,$T57,'📦 Subscriptions'!$J$6:$J$205,"Active")&gt;1,$U57&gt;0))</f>
        <v>0</v>
      </c>
      <c r="Z57" s="84" t="b">
        <f>IF($S57="","",AND('📦 Subscriptions'!$J46="Active",OR('⚙️ Settings'!$C$7-$V57&gt;='⚙️ Settings'!$C$9,$W57&lt;'⚙️ Settings'!$C$10)))</f>
        <v>0</v>
      </c>
      <c r="AA57" s="84" t="b">
        <f>IF($S57="","",AND('📦 Subscriptions'!$J46="Active",OR($X57="Downgrade",$X57="Switch to Annual")))</f>
        <v>0</v>
      </c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1:37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84">
        <f>'📦 Subscriptions'!$B47</f>
        <v>0</v>
      </c>
      <c r="T58" s="84">
        <f>'📦 Subscriptions'!$C47</f>
        <v>0</v>
      </c>
      <c r="U58" s="8" t="str">
        <f>'📦 Subscriptions'!$G47</f>
        <v/>
      </c>
      <c r="V58" s="5">
        <f>'📦 Subscriptions'!$L47</f>
        <v>0</v>
      </c>
      <c r="W58" s="6">
        <f>'📦 Subscriptions'!$M47</f>
        <v>0</v>
      </c>
      <c r="X58" s="84">
        <f>'📦 Subscriptions'!$N47</f>
        <v>0</v>
      </c>
      <c r="Y58" s="84" t="b">
        <f>IF($S58="","",AND('📦 Subscriptions'!$J47="Active",COUNTIFS('📦 Subscriptions'!$C$6:$C$205,$T58,'📦 Subscriptions'!$J$6:$J$205,"Active")&gt;1,$U58&gt;0))</f>
        <v>0</v>
      </c>
      <c r="Z58" s="84" t="b">
        <f>IF($S58="","",AND('📦 Subscriptions'!$J47="Active",OR('⚙️ Settings'!$C$7-$V58&gt;='⚙️ Settings'!$C$9,$W58&lt;'⚙️ Settings'!$C$10)))</f>
        <v>0</v>
      </c>
      <c r="AA58" s="84" t="b">
        <f>IF($S58="","",AND('📦 Subscriptions'!$J47="Active",OR($X58="Downgrade",$X58="Switch to Annual")))</f>
        <v>0</v>
      </c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spans="1:37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84">
        <f>'📦 Subscriptions'!$B48</f>
        <v>0</v>
      </c>
      <c r="T59" s="84">
        <f>'📦 Subscriptions'!$C48</f>
        <v>0</v>
      </c>
      <c r="U59" s="8" t="str">
        <f>'📦 Subscriptions'!$G48</f>
        <v/>
      </c>
      <c r="V59" s="5">
        <f>'📦 Subscriptions'!$L48</f>
        <v>0</v>
      </c>
      <c r="W59" s="6">
        <f>'📦 Subscriptions'!$M48</f>
        <v>0</v>
      </c>
      <c r="X59" s="84">
        <f>'📦 Subscriptions'!$N48</f>
        <v>0</v>
      </c>
      <c r="Y59" s="84" t="b">
        <f>IF($S59="","",AND('📦 Subscriptions'!$J48="Active",COUNTIFS('📦 Subscriptions'!$C$6:$C$205,$T59,'📦 Subscriptions'!$J$6:$J$205,"Active")&gt;1,$U59&gt;0))</f>
        <v>0</v>
      </c>
      <c r="Z59" s="84" t="b">
        <f>IF($S59="","",AND('📦 Subscriptions'!$J48="Active",OR('⚙️ Settings'!$C$7-$V59&gt;='⚙️ Settings'!$C$9,$W59&lt;'⚙️ Settings'!$C$10)))</f>
        <v>0</v>
      </c>
      <c r="AA59" s="84" t="b">
        <f>IF($S59="","",AND('📦 Subscriptions'!$J48="Active",OR($X59="Downgrade",$X59="Switch to Annual")))</f>
        <v>0</v>
      </c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spans="1:37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84">
        <f>'📦 Subscriptions'!$B49</f>
        <v>0</v>
      </c>
      <c r="T60" s="84">
        <f>'📦 Subscriptions'!$C49</f>
        <v>0</v>
      </c>
      <c r="U60" s="8" t="str">
        <f>'📦 Subscriptions'!$G49</f>
        <v/>
      </c>
      <c r="V60" s="5">
        <f>'📦 Subscriptions'!$L49</f>
        <v>0</v>
      </c>
      <c r="W60" s="6">
        <f>'📦 Subscriptions'!$M49</f>
        <v>0</v>
      </c>
      <c r="X60" s="84">
        <f>'📦 Subscriptions'!$N49</f>
        <v>0</v>
      </c>
      <c r="Y60" s="84" t="b">
        <f>IF($S60="","",AND('📦 Subscriptions'!$J49="Active",COUNTIFS('📦 Subscriptions'!$C$6:$C$205,$T60,'📦 Subscriptions'!$J$6:$J$205,"Active")&gt;1,$U60&gt;0))</f>
        <v>0</v>
      </c>
      <c r="Z60" s="84" t="b">
        <f>IF($S60="","",AND('📦 Subscriptions'!$J49="Active",OR('⚙️ Settings'!$C$7-$V60&gt;='⚙️ Settings'!$C$9,$W60&lt;'⚙️ Settings'!$C$10)))</f>
        <v>0</v>
      </c>
      <c r="AA60" s="84" t="b">
        <f>IF($S60="","",AND('📦 Subscriptions'!$J49="Active",OR($X60="Downgrade",$X60="Switch to Annual")))</f>
        <v>0</v>
      </c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spans="1:37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84">
        <f>'📦 Subscriptions'!$B50</f>
        <v>0</v>
      </c>
      <c r="T61" s="84">
        <f>'📦 Subscriptions'!$C50</f>
        <v>0</v>
      </c>
      <c r="U61" s="8" t="str">
        <f>'📦 Subscriptions'!$G50</f>
        <v/>
      </c>
      <c r="V61" s="5">
        <f>'📦 Subscriptions'!$L50</f>
        <v>0</v>
      </c>
      <c r="W61" s="6">
        <f>'📦 Subscriptions'!$M50</f>
        <v>0</v>
      </c>
      <c r="X61" s="84">
        <f>'📦 Subscriptions'!$N50</f>
        <v>0</v>
      </c>
      <c r="Y61" s="84" t="b">
        <f>IF($S61="","",AND('📦 Subscriptions'!$J50="Active",COUNTIFS('📦 Subscriptions'!$C$6:$C$205,$T61,'📦 Subscriptions'!$J$6:$J$205,"Active")&gt;1,$U61&gt;0))</f>
        <v>0</v>
      </c>
      <c r="Z61" s="84" t="b">
        <f>IF($S61="","",AND('📦 Subscriptions'!$J50="Active",OR('⚙️ Settings'!$C$7-$V61&gt;='⚙️ Settings'!$C$9,$W61&lt;'⚙️ Settings'!$C$10)))</f>
        <v>0</v>
      </c>
      <c r="AA61" s="84" t="b">
        <f>IF($S61="","",AND('📦 Subscriptions'!$J50="Active",OR($X61="Downgrade",$X61="Switch to Annual")))</f>
        <v>0</v>
      </c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spans="1:37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84">
        <f>'📦 Subscriptions'!$B51</f>
        <v>0</v>
      </c>
      <c r="T62" s="84">
        <f>'📦 Subscriptions'!$C51</f>
        <v>0</v>
      </c>
      <c r="U62" s="8" t="str">
        <f>'📦 Subscriptions'!$G51</f>
        <v/>
      </c>
      <c r="V62" s="5">
        <f>'📦 Subscriptions'!$L51</f>
        <v>0</v>
      </c>
      <c r="W62" s="6">
        <f>'📦 Subscriptions'!$M51</f>
        <v>0</v>
      </c>
      <c r="X62" s="84">
        <f>'📦 Subscriptions'!$N51</f>
        <v>0</v>
      </c>
      <c r="Y62" s="84" t="b">
        <f>IF($S62="","",AND('📦 Subscriptions'!$J51="Active",COUNTIFS('📦 Subscriptions'!$C$6:$C$205,$T62,'📦 Subscriptions'!$J$6:$J$205,"Active")&gt;1,$U62&gt;0))</f>
        <v>0</v>
      </c>
      <c r="Z62" s="84" t="b">
        <f>IF($S62="","",AND('📦 Subscriptions'!$J51="Active",OR('⚙️ Settings'!$C$7-$V62&gt;='⚙️ Settings'!$C$9,$W62&lt;'⚙️ Settings'!$C$10)))</f>
        <v>0</v>
      </c>
      <c r="AA62" s="84" t="b">
        <f>IF($S62="","",AND('📦 Subscriptions'!$J51="Active",OR($X62="Downgrade",$X62="Switch to Annual")))</f>
        <v>0</v>
      </c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spans="1:37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84">
        <f>'📦 Subscriptions'!$B52</f>
        <v>0</v>
      </c>
      <c r="T63" s="84">
        <f>'📦 Subscriptions'!$C52</f>
        <v>0</v>
      </c>
      <c r="U63" s="8" t="str">
        <f>'📦 Subscriptions'!$G52</f>
        <v/>
      </c>
      <c r="V63" s="5">
        <f>'📦 Subscriptions'!$L52</f>
        <v>0</v>
      </c>
      <c r="W63" s="6">
        <f>'📦 Subscriptions'!$M52</f>
        <v>0</v>
      </c>
      <c r="X63" s="84">
        <f>'📦 Subscriptions'!$N52</f>
        <v>0</v>
      </c>
      <c r="Y63" s="84" t="b">
        <f>IF($S63="","",AND('📦 Subscriptions'!$J52="Active",COUNTIFS('📦 Subscriptions'!$C$6:$C$205,$T63,'📦 Subscriptions'!$J$6:$J$205,"Active")&gt;1,$U63&gt;0))</f>
        <v>0</v>
      </c>
      <c r="Z63" s="84" t="b">
        <f>IF($S63="","",AND('📦 Subscriptions'!$J52="Active",OR('⚙️ Settings'!$C$7-$V63&gt;='⚙️ Settings'!$C$9,$W63&lt;'⚙️ Settings'!$C$10)))</f>
        <v>0</v>
      </c>
      <c r="AA63" s="84" t="b">
        <f>IF($S63="","",AND('📦 Subscriptions'!$J52="Active",OR($X63="Downgrade",$X63="Switch to Annual")))</f>
        <v>0</v>
      </c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spans="1:37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84">
        <f>'📦 Subscriptions'!$B53</f>
        <v>0</v>
      </c>
      <c r="T64" s="84">
        <f>'📦 Subscriptions'!$C53</f>
        <v>0</v>
      </c>
      <c r="U64" s="8" t="str">
        <f>'📦 Subscriptions'!$G53</f>
        <v/>
      </c>
      <c r="V64" s="5">
        <f>'📦 Subscriptions'!$L53</f>
        <v>0</v>
      </c>
      <c r="W64" s="6">
        <f>'📦 Subscriptions'!$M53</f>
        <v>0</v>
      </c>
      <c r="X64" s="84">
        <f>'📦 Subscriptions'!$N53</f>
        <v>0</v>
      </c>
      <c r="Y64" s="84" t="b">
        <f>IF($S64="","",AND('📦 Subscriptions'!$J53="Active",COUNTIFS('📦 Subscriptions'!$C$6:$C$205,$T64,'📦 Subscriptions'!$J$6:$J$205,"Active")&gt;1,$U64&gt;0))</f>
        <v>0</v>
      </c>
      <c r="Z64" s="84" t="b">
        <f>IF($S64="","",AND('📦 Subscriptions'!$J53="Active",OR('⚙️ Settings'!$C$7-$V64&gt;='⚙️ Settings'!$C$9,$W64&lt;'⚙️ Settings'!$C$10)))</f>
        <v>0</v>
      </c>
      <c r="AA64" s="84" t="b">
        <f>IF($S64="","",AND('📦 Subscriptions'!$J53="Active",OR($X64="Downgrade",$X64="Switch to Annual")))</f>
        <v>0</v>
      </c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spans="1:37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84">
        <f>'📦 Subscriptions'!$B54</f>
        <v>0</v>
      </c>
      <c r="T65" s="84">
        <f>'📦 Subscriptions'!$C54</f>
        <v>0</v>
      </c>
      <c r="U65" s="8" t="str">
        <f>'📦 Subscriptions'!$G54</f>
        <v/>
      </c>
      <c r="V65" s="5">
        <f>'📦 Subscriptions'!$L54</f>
        <v>0</v>
      </c>
      <c r="W65" s="6">
        <f>'📦 Subscriptions'!$M54</f>
        <v>0</v>
      </c>
      <c r="X65" s="84">
        <f>'📦 Subscriptions'!$N54</f>
        <v>0</v>
      </c>
      <c r="Y65" s="84" t="b">
        <f>IF($S65="","",AND('📦 Subscriptions'!$J54="Active",COUNTIFS('📦 Subscriptions'!$C$6:$C$205,$T65,'📦 Subscriptions'!$J$6:$J$205,"Active")&gt;1,$U65&gt;0))</f>
        <v>0</v>
      </c>
      <c r="Z65" s="84" t="b">
        <f>IF($S65="","",AND('📦 Subscriptions'!$J54="Active",OR('⚙️ Settings'!$C$7-$V65&gt;='⚙️ Settings'!$C$9,$W65&lt;'⚙️ Settings'!$C$10)))</f>
        <v>0</v>
      </c>
      <c r="AA65" s="84" t="b">
        <f>IF($S65="","",AND('📦 Subscriptions'!$J54="Active",OR($X65="Downgrade",$X65="Switch to Annual")))</f>
        <v>0</v>
      </c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spans="1:37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84">
        <f>'📦 Subscriptions'!$B55</f>
        <v>0</v>
      </c>
      <c r="T66" s="84">
        <f>'📦 Subscriptions'!$C55</f>
        <v>0</v>
      </c>
      <c r="U66" s="8" t="str">
        <f>'📦 Subscriptions'!$G55</f>
        <v/>
      </c>
      <c r="V66" s="5">
        <f>'📦 Subscriptions'!$L55</f>
        <v>0</v>
      </c>
      <c r="W66" s="6">
        <f>'📦 Subscriptions'!$M55</f>
        <v>0</v>
      </c>
      <c r="X66" s="84">
        <f>'📦 Subscriptions'!$N55</f>
        <v>0</v>
      </c>
      <c r="Y66" s="84" t="b">
        <f>IF($S66="","",AND('📦 Subscriptions'!$J55="Active",COUNTIFS('📦 Subscriptions'!$C$6:$C$205,$T66,'📦 Subscriptions'!$J$6:$J$205,"Active")&gt;1,$U66&gt;0))</f>
        <v>0</v>
      </c>
      <c r="Z66" s="84" t="b">
        <f>IF($S66="","",AND('📦 Subscriptions'!$J55="Active",OR('⚙️ Settings'!$C$7-$V66&gt;='⚙️ Settings'!$C$9,$W66&lt;'⚙️ Settings'!$C$10)))</f>
        <v>0</v>
      </c>
      <c r="AA66" s="84" t="b">
        <f>IF($S66="","",AND('📦 Subscriptions'!$J55="Active",OR($X66="Downgrade",$X66="Switch to Annual")))</f>
        <v>0</v>
      </c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spans="1:3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84">
        <f>'📦 Subscriptions'!$B56</f>
        <v>0</v>
      </c>
      <c r="T67" s="84">
        <f>'📦 Subscriptions'!$C56</f>
        <v>0</v>
      </c>
      <c r="U67" s="8" t="str">
        <f>'📦 Subscriptions'!$G56</f>
        <v/>
      </c>
      <c r="V67" s="5">
        <f>'📦 Subscriptions'!$L56</f>
        <v>0</v>
      </c>
      <c r="W67" s="6">
        <f>'📦 Subscriptions'!$M56</f>
        <v>0</v>
      </c>
      <c r="X67" s="84">
        <f>'📦 Subscriptions'!$N56</f>
        <v>0</v>
      </c>
      <c r="Y67" s="84" t="b">
        <f>IF($S67="","",AND('📦 Subscriptions'!$J56="Active",COUNTIFS('📦 Subscriptions'!$C$6:$C$205,$T67,'📦 Subscriptions'!$J$6:$J$205,"Active")&gt;1,$U67&gt;0))</f>
        <v>0</v>
      </c>
      <c r="Z67" s="84" t="b">
        <f>IF($S67="","",AND('📦 Subscriptions'!$J56="Active",OR('⚙️ Settings'!$C$7-$V67&gt;='⚙️ Settings'!$C$9,$W67&lt;'⚙️ Settings'!$C$10)))</f>
        <v>0</v>
      </c>
      <c r="AA67" s="84" t="b">
        <f>IF($S67="","",AND('📦 Subscriptions'!$J56="Active",OR($X67="Downgrade",$X67="Switch to Annual")))</f>
        <v>0</v>
      </c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spans="1:37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84">
        <f>'📦 Subscriptions'!$B57</f>
        <v>0</v>
      </c>
      <c r="T68" s="84">
        <f>'📦 Subscriptions'!$C57</f>
        <v>0</v>
      </c>
      <c r="U68" s="8" t="str">
        <f>'📦 Subscriptions'!$G57</f>
        <v/>
      </c>
      <c r="V68" s="5">
        <f>'📦 Subscriptions'!$L57</f>
        <v>0</v>
      </c>
      <c r="W68" s="6">
        <f>'📦 Subscriptions'!$M57</f>
        <v>0</v>
      </c>
      <c r="X68" s="84">
        <f>'📦 Subscriptions'!$N57</f>
        <v>0</v>
      </c>
      <c r="Y68" s="84" t="b">
        <f>IF($S68="","",AND('📦 Subscriptions'!$J57="Active",COUNTIFS('📦 Subscriptions'!$C$6:$C$205,$T68,'📦 Subscriptions'!$J$6:$J$205,"Active")&gt;1,$U68&gt;0))</f>
        <v>0</v>
      </c>
      <c r="Z68" s="84" t="b">
        <f>IF($S68="","",AND('📦 Subscriptions'!$J57="Active",OR('⚙️ Settings'!$C$7-$V68&gt;='⚙️ Settings'!$C$9,$W68&lt;'⚙️ Settings'!$C$10)))</f>
        <v>0</v>
      </c>
      <c r="AA68" s="84" t="b">
        <f>IF($S68="","",AND('📦 Subscriptions'!$J57="Active",OR($X68="Downgrade",$X68="Switch to Annual")))</f>
        <v>0</v>
      </c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spans="1:37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84">
        <f>'📦 Subscriptions'!$B58</f>
        <v>0</v>
      </c>
      <c r="T69" s="84">
        <f>'📦 Subscriptions'!$C58</f>
        <v>0</v>
      </c>
      <c r="U69" s="8" t="str">
        <f>'📦 Subscriptions'!$G58</f>
        <v/>
      </c>
      <c r="V69" s="5">
        <f>'📦 Subscriptions'!$L58</f>
        <v>0</v>
      </c>
      <c r="W69" s="6">
        <f>'📦 Subscriptions'!$M58</f>
        <v>0</v>
      </c>
      <c r="X69" s="84">
        <f>'📦 Subscriptions'!$N58</f>
        <v>0</v>
      </c>
      <c r="Y69" s="84" t="b">
        <f>IF($S69="","",AND('📦 Subscriptions'!$J58="Active",COUNTIFS('📦 Subscriptions'!$C$6:$C$205,$T69,'📦 Subscriptions'!$J$6:$J$205,"Active")&gt;1,$U69&gt;0))</f>
        <v>0</v>
      </c>
      <c r="Z69" s="84" t="b">
        <f>IF($S69="","",AND('📦 Subscriptions'!$J58="Active",OR('⚙️ Settings'!$C$7-$V69&gt;='⚙️ Settings'!$C$9,$W69&lt;'⚙️ Settings'!$C$10)))</f>
        <v>0</v>
      </c>
      <c r="AA69" s="84" t="b">
        <f>IF($S69="","",AND('📦 Subscriptions'!$J58="Active",OR($X69="Downgrade",$X69="Switch to Annual")))</f>
        <v>0</v>
      </c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spans="1:37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84">
        <f>'📦 Subscriptions'!$B59</f>
        <v>0</v>
      </c>
      <c r="T70" s="84">
        <f>'📦 Subscriptions'!$C59</f>
        <v>0</v>
      </c>
      <c r="U70" s="8" t="str">
        <f>'📦 Subscriptions'!$G59</f>
        <v/>
      </c>
      <c r="V70" s="5">
        <f>'📦 Subscriptions'!$L59</f>
        <v>0</v>
      </c>
      <c r="W70" s="6">
        <f>'📦 Subscriptions'!$M59</f>
        <v>0</v>
      </c>
      <c r="X70" s="84">
        <f>'📦 Subscriptions'!$N59</f>
        <v>0</v>
      </c>
      <c r="Y70" s="84" t="b">
        <f>IF($S70="","",AND('📦 Subscriptions'!$J59="Active",COUNTIFS('📦 Subscriptions'!$C$6:$C$205,$T70,'📦 Subscriptions'!$J$6:$J$205,"Active")&gt;1,$U70&gt;0))</f>
        <v>0</v>
      </c>
      <c r="Z70" s="84" t="b">
        <f>IF($S70="","",AND('📦 Subscriptions'!$J59="Active",OR('⚙️ Settings'!$C$7-$V70&gt;='⚙️ Settings'!$C$9,$W70&lt;'⚙️ Settings'!$C$10)))</f>
        <v>0</v>
      </c>
      <c r="AA70" s="84" t="b">
        <f>IF($S70="","",AND('📦 Subscriptions'!$J59="Active",OR($X70="Downgrade",$X70="Switch to Annual")))</f>
        <v>0</v>
      </c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spans="1:37">
      <c r="S71" s="84">
        <f>'📦 Subscriptions'!$B60</f>
        <v>0</v>
      </c>
      <c r="T71" s="84">
        <f>'📦 Subscriptions'!$C60</f>
        <v>0</v>
      </c>
      <c r="U71" s="8" t="str">
        <f>'📦 Subscriptions'!$G60</f>
        <v/>
      </c>
      <c r="V71" s="5">
        <f>'📦 Subscriptions'!$L60</f>
        <v>0</v>
      </c>
      <c r="W71" s="6">
        <f>'📦 Subscriptions'!$M60</f>
        <v>0</v>
      </c>
      <c r="X71" s="84">
        <f>'📦 Subscriptions'!$N60</f>
        <v>0</v>
      </c>
      <c r="Y71" s="84" t="b">
        <f>IF($S71="","",AND('📦 Subscriptions'!$J60="Active",COUNTIFS('📦 Subscriptions'!$C$6:$C$205,$T71,'📦 Subscriptions'!$J$6:$J$205,"Active")&gt;1,$U71&gt;0))</f>
        <v>0</v>
      </c>
      <c r="Z71" s="84" t="b">
        <f>IF($S71="","",AND('📦 Subscriptions'!$J60="Active",OR('⚙️ Settings'!$C$7-$V71&gt;='⚙️ Settings'!$C$9,$W71&lt;'⚙️ Settings'!$C$10)))</f>
        <v>0</v>
      </c>
      <c r="AA71" s="84" t="b">
        <f>IF($S71="","",AND('📦 Subscriptions'!$J60="Active",OR($X71="Downgrade",$X71="Switch to Annual")))</f>
        <v>0</v>
      </c>
    </row>
    <row r="72" spans="1:37">
      <c r="S72" s="84">
        <f>'📦 Subscriptions'!$B61</f>
        <v>0</v>
      </c>
      <c r="T72" s="84">
        <f>'📦 Subscriptions'!$C61</f>
        <v>0</v>
      </c>
      <c r="U72" s="8" t="str">
        <f>'📦 Subscriptions'!$G61</f>
        <v/>
      </c>
      <c r="V72" s="5">
        <f>'📦 Subscriptions'!$L61</f>
        <v>0</v>
      </c>
      <c r="W72" s="6">
        <f>'📦 Subscriptions'!$M61</f>
        <v>0</v>
      </c>
      <c r="X72" s="84">
        <f>'📦 Subscriptions'!$N61</f>
        <v>0</v>
      </c>
      <c r="Y72" s="84" t="b">
        <f>IF($S72="","",AND('📦 Subscriptions'!$J61="Active",COUNTIFS('📦 Subscriptions'!$C$6:$C$205,$T72,'📦 Subscriptions'!$J$6:$J$205,"Active")&gt;1,$U72&gt;0))</f>
        <v>0</v>
      </c>
      <c r="Z72" s="84" t="b">
        <f>IF($S72="","",AND('📦 Subscriptions'!$J61="Active",OR('⚙️ Settings'!$C$7-$V72&gt;='⚙️ Settings'!$C$9,$W72&lt;'⚙️ Settings'!$C$10)))</f>
        <v>0</v>
      </c>
      <c r="AA72" s="84" t="b">
        <f>IF($S72="","",AND('📦 Subscriptions'!$J61="Active",OR($X72="Downgrade",$X72="Switch to Annual")))</f>
        <v>0</v>
      </c>
    </row>
    <row r="73" spans="1:37">
      <c r="S73" s="84">
        <f>'📦 Subscriptions'!$B62</f>
        <v>0</v>
      </c>
      <c r="T73" s="84">
        <f>'📦 Subscriptions'!$C62</f>
        <v>0</v>
      </c>
      <c r="U73" s="8" t="str">
        <f>'📦 Subscriptions'!$G62</f>
        <v/>
      </c>
      <c r="V73" s="5">
        <f>'📦 Subscriptions'!$L62</f>
        <v>0</v>
      </c>
      <c r="W73" s="6">
        <f>'📦 Subscriptions'!$M62</f>
        <v>0</v>
      </c>
      <c r="X73" s="84">
        <f>'📦 Subscriptions'!$N62</f>
        <v>0</v>
      </c>
      <c r="Y73" s="84" t="b">
        <f>IF($S73="","",AND('📦 Subscriptions'!$J62="Active",COUNTIFS('📦 Subscriptions'!$C$6:$C$205,$T73,'📦 Subscriptions'!$J$6:$J$205,"Active")&gt;1,$U73&gt;0))</f>
        <v>0</v>
      </c>
      <c r="Z73" s="84" t="b">
        <f>IF($S73="","",AND('📦 Subscriptions'!$J62="Active",OR('⚙️ Settings'!$C$7-$V73&gt;='⚙️ Settings'!$C$9,$W73&lt;'⚙️ Settings'!$C$10)))</f>
        <v>0</v>
      </c>
      <c r="AA73" s="84" t="b">
        <f>IF($S73="","",AND('📦 Subscriptions'!$J62="Active",OR($X73="Downgrade",$X73="Switch to Annual")))</f>
        <v>0</v>
      </c>
    </row>
    <row r="74" spans="1:37">
      <c r="S74" s="84">
        <f>'📦 Subscriptions'!$B63</f>
        <v>0</v>
      </c>
      <c r="T74" s="84">
        <f>'📦 Subscriptions'!$C63</f>
        <v>0</v>
      </c>
      <c r="U74" s="8" t="str">
        <f>'📦 Subscriptions'!$G63</f>
        <v/>
      </c>
      <c r="V74" s="5">
        <f>'📦 Subscriptions'!$L63</f>
        <v>0</v>
      </c>
      <c r="W74" s="6">
        <f>'📦 Subscriptions'!$M63</f>
        <v>0</v>
      </c>
      <c r="X74" s="84">
        <f>'📦 Subscriptions'!$N63</f>
        <v>0</v>
      </c>
      <c r="Y74" s="84" t="b">
        <f>IF($S74="","",AND('📦 Subscriptions'!$J63="Active",COUNTIFS('📦 Subscriptions'!$C$6:$C$205,$T74,'📦 Subscriptions'!$J$6:$J$205,"Active")&gt;1,$U74&gt;0))</f>
        <v>0</v>
      </c>
      <c r="Z74" s="84" t="b">
        <f>IF($S74="","",AND('📦 Subscriptions'!$J63="Active",OR('⚙️ Settings'!$C$7-$V74&gt;='⚙️ Settings'!$C$9,$W74&lt;'⚙️ Settings'!$C$10)))</f>
        <v>0</v>
      </c>
      <c r="AA74" s="84" t="b">
        <f>IF($S74="","",AND('📦 Subscriptions'!$J63="Active",OR($X74="Downgrade",$X74="Switch to Annual")))</f>
        <v>0</v>
      </c>
    </row>
    <row r="75" spans="1:37">
      <c r="S75" s="84">
        <f>'📦 Subscriptions'!$B64</f>
        <v>0</v>
      </c>
      <c r="T75" s="84">
        <f>'📦 Subscriptions'!$C64</f>
        <v>0</v>
      </c>
      <c r="U75" s="8" t="str">
        <f>'📦 Subscriptions'!$G64</f>
        <v/>
      </c>
      <c r="V75" s="5">
        <f>'📦 Subscriptions'!$L64</f>
        <v>0</v>
      </c>
      <c r="W75" s="6">
        <f>'📦 Subscriptions'!$M64</f>
        <v>0</v>
      </c>
      <c r="X75" s="84">
        <f>'📦 Subscriptions'!$N64</f>
        <v>0</v>
      </c>
      <c r="Y75" s="84" t="b">
        <f>IF($S75="","",AND('📦 Subscriptions'!$J64="Active",COUNTIFS('📦 Subscriptions'!$C$6:$C$205,$T75,'📦 Subscriptions'!$J$6:$J$205,"Active")&gt;1,$U75&gt;0))</f>
        <v>0</v>
      </c>
      <c r="Z75" s="84" t="b">
        <f>IF($S75="","",AND('📦 Subscriptions'!$J64="Active",OR('⚙️ Settings'!$C$7-$V75&gt;='⚙️ Settings'!$C$9,$W75&lt;'⚙️ Settings'!$C$10)))</f>
        <v>0</v>
      </c>
      <c r="AA75" s="84" t="b">
        <f>IF($S75="","",AND('📦 Subscriptions'!$J64="Active",OR($X75="Downgrade",$X75="Switch to Annual")))</f>
        <v>0</v>
      </c>
    </row>
    <row r="76" spans="1:37">
      <c r="S76" s="84">
        <f>'📦 Subscriptions'!$B65</f>
        <v>0</v>
      </c>
      <c r="T76" s="84">
        <f>'📦 Subscriptions'!$C65</f>
        <v>0</v>
      </c>
      <c r="U76" s="8" t="str">
        <f>'📦 Subscriptions'!$G65</f>
        <v/>
      </c>
      <c r="V76" s="5">
        <f>'📦 Subscriptions'!$L65</f>
        <v>0</v>
      </c>
      <c r="W76" s="6">
        <f>'📦 Subscriptions'!$M65</f>
        <v>0</v>
      </c>
      <c r="X76" s="84">
        <f>'📦 Subscriptions'!$N65</f>
        <v>0</v>
      </c>
      <c r="Y76" s="84" t="b">
        <f>IF($S76="","",AND('📦 Subscriptions'!$J65="Active",COUNTIFS('📦 Subscriptions'!$C$6:$C$205,$T76,'📦 Subscriptions'!$J$6:$J$205,"Active")&gt;1,$U76&gt;0))</f>
        <v>0</v>
      </c>
      <c r="Z76" s="84" t="b">
        <f>IF($S76="","",AND('📦 Subscriptions'!$J65="Active",OR('⚙️ Settings'!$C$7-$V76&gt;='⚙️ Settings'!$C$9,$W76&lt;'⚙️ Settings'!$C$10)))</f>
        <v>0</v>
      </c>
      <c r="AA76" s="84" t="b">
        <f>IF($S76="","",AND('📦 Subscriptions'!$J65="Active",OR($X76="Downgrade",$X76="Switch to Annual")))</f>
        <v>0</v>
      </c>
    </row>
    <row r="77" spans="1:37">
      <c r="S77" s="84">
        <f>'📦 Subscriptions'!$B66</f>
        <v>0</v>
      </c>
      <c r="T77" s="84">
        <f>'📦 Subscriptions'!$C66</f>
        <v>0</v>
      </c>
      <c r="U77" s="8" t="str">
        <f>'📦 Subscriptions'!$G66</f>
        <v/>
      </c>
      <c r="V77" s="5">
        <f>'📦 Subscriptions'!$L66</f>
        <v>0</v>
      </c>
      <c r="W77" s="6">
        <f>'📦 Subscriptions'!$M66</f>
        <v>0</v>
      </c>
      <c r="X77" s="84">
        <f>'📦 Subscriptions'!$N66</f>
        <v>0</v>
      </c>
      <c r="Y77" s="84" t="b">
        <f>IF($S77="","",AND('📦 Subscriptions'!$J66="Active",COUNTIFS('📦 Subscriptions'!$C$6:$C$205,$T77,'📦 Subscriptions'!$J$6:$J$205,"Active")&gt;1,$U77&gt;0))</f>
        <v>0</v>
      </c>
      <c r="Z77" s="84" t="b">
        <f>IF($S77="","",AND('📦 Subscriptions'!$J66="Active",OR('⚙️ Settings'!$C$7-$V77&gt;='⚙️ Settings'!$C$9,$W77&lt;'⚙️ Settings'!$C$10)))</f>
        <v>0</v>
      </c>
      <c r="AA77" s="84" t="b">
        <f>IF($S77="","",AND('📦 Subscriptions'!$J66="Active",OR($X77="Downgrade",$X77="Switch to Annual")))</f>
        <v>0</v>
      </c>
    </row>
    <row r="78" spans="1:37">
      <c r="S78" s="84">
        <f>'📦 Subscriptions'!$B67</f>
        <v>0</v>
      </c>
      <c r="T78" s="84">
        <f>'📦 Subscriptions'!$C67</f>
        <v>0</v>
      </c>
      <c r="U78" s="8" t="str">
        <f>'📦 Subscriptions'!$G67</f>
        <v/>
      </c>
      <c r="V78" s="5">
        <f>'📦 Subscriptions'!$L67</f>
        <v>0</v>
      </c>
      <c r="W78" s="6">
        <f>'📦 Subscriptions'!$M67</f>
        <v>0</v>
      </c>
      <c r="X78" s="84">
        <f>'📦 Subscriptions'!$N67</f>
        <v>0</v>
      </c>
      <c r="Y78" s="84" t="b">
        <f>IF($S78="","",AND('📦 Subscriptions'!$J67="Active",COUNTIFS('📦 Subscriptions'!$C$6:$C$205,$T78,'📦 Subscriptions'!$J$6:$J$205,"Active")&gt;1,$U78&gt;0))</f>
        <v>0</v>
      </c>
      <c r="Z78" s="84" t="b">
        <f>IF($S78="","",AND('📦 Subscriptions'!$J67="Active",OR('⚙️ Settings'!$C$7-$V78&gt;='⚙️ Settings'!$C$9,$W78&lt;'⚙️ Settings'!$C$10)))</f>
        <v>0</v>
      </c>
      <c r="AA78" s="84" t="b">
        <f>IF($S78="","",AND('📦 Subscriptions'!$J67="Active",OR($X78="Downgrade",$X78="Switch to Annual")))</f>
        <v>0</v>
      </c>
    </row>
    <row r="79" spans="1:37">
      <c r="S79" s="84">
        <f>'📦 Subscriptions'!$B68</f>
        <v>0</v>
      </c>
      <c r="T79" s="84">
        <f>'📦 Subscriptions'!$C68</f>
        <v>0</v>
      </c>
      <c r="U79" s="8" t="str">
        <f>'📦 Subscriptions'!$G68</f>
        <v/>
      </c>
      <c r="V79" s="5">
        <f>'📦 Subscriptions'!$L68</f>
        <v>0</v>
      </c>
      <c r="W79" s="6">
        <f>'📦 Subscriptions'!$M68</f>
        <v>0</v>
      </c>
      <c r="X79" s="84">
        <f>'📦 Subscriptions'!$N68</f>
        <v>0</v>
      </c>
      <c r="Y79" s="84" t="b">
        <f>IF($S79="","",AND('📦 Subscriptions'!$J68="Active",COUNTIFS('📦 Subscriptions'!$C$6:$C$205,$T79,'📦 Subscriptions'!$J$6:$J$205,"Active")&gt;1,$U79&gt;0))</f>
        <v>0</v>
      </c>
      <c r="Z79" s="84" t="b">
        <f>IF($S79="","",AND('📦 Subscriptions'!$J68="Active",OR('⚙️ Settings'!$C$7-$V79&gt;='⚙️ Settings'!$C$9,$W79&lt;'⚙️ Settings'!$C$10)))</f>
        <v>0</v>
      </c>
      <c r="AA79" s="84" t="b">
        <f>IF($S79="","",AND('📦 Subscriptions'!$J68="Active",OR($X79="Downgrade",$X79="Switch to Annual")))</f>
        <v>0</v>
      </c>
    </row>
    <row r="80" spans="1:37">
      <c r="S80" s="84">
        <f>'📦 Subscriptions'!$B69</f>
        <v>0</v>
      </c>
      <c r="T80" s="84">
        <f>'📦 Subscriptions'!$C69</f>
        <v>0</v>
      </c>
      <c r="U80" s="8" t="str">
        <f>'📦 Subscriptions'!$G69</f>
        <v/>
      </c>
      <c r="V80" s="5">
        <f>'📦 Subscriptions'!$L69</f>
        <v>0</v>
      </c>
      <c r="W80" s="6">
        <f>'📦 Subscriptions'!$M69</f>
        <v>0</v>
      </c>
      <c r="X80" s="84">
        <f>'📦 Subscriptions'!$N69</f>
        <v>0</v>
      </c>
      <c r="Y80" s="84" t="b">
        <f>IF($S80="","",AND('📦 Subscriptions'!$J69="Active",COUNTIFS('📦 Subscriptions'!$C$6:$C$205,$T80,'📦 Subscriptions'!$J$6:$J$205,"Active")&gt;1,$U80&gt;0))</f>
        <v>0</v>
      </c>
      <c r="Z80" s="84" t="b">
        <f>IF($S80="","",AND('📦 Subscriptions'!$J69="Active",OR('⚙️ Settings'!$C$7-$V80&gt;='⚙️ Settings'!$C$9,$W80&lt;'⚙️ Settings'!$C$10)))</f>
        <v>0</v>
      </c>
      <c r="AA80" s="84" t="b">
        <f>IF($S80="","",AND('📦 Subscriptions'!$J69="Active",OR($X80="Downgrade",$X80="Switch to Annual")))</f>
        <v>0</v>
      </c>
    </row>
    <row r="81" spans="19:27">
      <c r="S81" s="84">
        <f>'📦 Subscriptions'!$B70</f>
        <v>0</v>
      </c>
      <c r="T81" s="84">
        <f>'📦 Subscriptions'!$C70</f>
        <v>0</v>
      </c>
      <c r="U81" s="8" t="str">
        <f>'📦 Subscriptions'!$G70</f>
        <v/>
      </c>
      <c r="V81" s="5">
        <f>'📦 Subscriptions'!$L70</f>
        <v>0</v>
      </c>
      <c r="W81" s="6">
        <f>'📦 Subscriptions'!$M70</f>
        <v>0</v>
      </c>
      <c r="X81" s="84">
        <f>'📦 Subscriptions'!$N70</f>
        <v>0</v>
      </c>
      <c r="Y81" s="84" t="b">
        <f>IF($S81="","",AND('📦 Subscriptions'!$J70="Active",COUNTIFS('📦 Subscriptions'!$C$6:$C$205,$T81,'📦 Subscriptions'!$J$6:$J$205,"Active")&gt;1,$U81&gt;0))</f>
        <v>0</v>
      </c>
      <c r="Z81" s="84" t="b">
        <f>IF($S81="","",AND('📦 Subscriptions'!$J70="Active",OR('⚙️ Settings'!$C$7-$V81&gt;='⚙️ Settings'!$C$9,$W81&lt;'⚙️ Settings'!$C$10)))</f>
        <v>0</v>
      </c>
      <c r="AA81" s="84" t="b">
        <f>IF($S81="","",AND('📦 Subscriptions'!$J70="Active",OR($X81="Downgrade",$X81="Switch to Annual")))</f>
        <v>0</v>
      </c>
    </row>
    <row r="82" spans="19:27">
      <c r="S82" s="84">
        <f>'📦 Subscriptions'!$B71</f>
        <v>0</v>
      </c>
      <c r="T82" s="84">
        <f>'📦 Subscriptions'!$C71</f>
        <v>0</v>
      </c>
      <c r="U82" s="8" t="str">
        <f>'📦 Subscriptions'!$G71</f>
        <v/>
      </c>
      <c r="V82" s="5">
        <f>'📦 Subscriptions'!$L71</f>
        <v>0</v>
      </c>
      <c r="W82" s="6">
        <f>'📦 Subscriptions'!$M71</f>
        <v>0</v>
      </c>
      <c r="X82" s="84">
        <f>'📦 Subscriptions'!$N71</f>
        <v>0</v>
      </c>
      <c r="Y82" s="84" t="b">
        <f>IF($S82="","",AND('📦 Subscriptions'!$J71="Active",COUNTIFS('📦 Subscriptions'!$C$6:$C$205,$T82,'📦 Subscriptions'!$J$6:$J$205,"Active")&gt;1,$U82&gt;0))</f>
        <v>0</v>
      </c>
      <c r="Z82" s="84" t="b">
        <f>IF($S82="","",AND('📦 Subscriptions'!$J71="Active",OR('⚙️ Settings'!$C$7-$V82&gt;='⚙️ Settings'!$C$9,$W82&lt;'⚙️ Settings'!$C$10)))</f>
        <v>0</v>
      </c>
      <c r="AA82" s="84" t="b">
        <f>IF($S82="","",AND('📦 Subscriptions'!$J71="Active",OR($X82="Downgrade",$X82="Switch to Annual")))</f>
        <v>0</v>
      </c>
    </row>
    <row r="83" spans="19:27">
      <c r="S83" s="84">
        <f>'📦 Subscriptions'!$B72</f>
        <v>0</v>
      </c>
      <c r="T83" s="84">
        <f>'📦 Subscriptions'!$C72</f>
        <v>0</v>
      </c>
      <c r="U83" s="8" t="str">
        <f>'📦 Subscriptions'!$G72</f>
        <v/>
      </c>
      <c r="V83" s="5">
        <f>'📦 Subscriptions'!$L72</f>
        <v>0</v>
      </c>
      <c r="W83" s="6">
        <f>'📦 Subscriptions'!$M72</f>
        <v>0</v>
      </c>
      <c r="X83" s="84">
        <f>'📦 Subscriptions'!$N72</f>
        <v>0</v>
      </c>
      <c r="Y83" s="84" t="b">
        <f>IF($S83="","",AND('📦 Subscriptions'!$J72="Active",COUNTIFS('📦 Subscriptions'!$C$6:$C$205,$T83,'📦 Subscriptions'!$J$6:$J$205,"Active")&gt;1,$U83&gt;0))</f>
        <v>0</v>
      </c>
      <c r="Z83" s="84" t="b">
        <f>IF($S83="","",AND('📦 Subscriptions'!$J72="Active",OR('⚙️ Settings'!$C$7-$V83&gt;='⚙️ Settings'!$C$9,$W83&lt;'⚙️ Settings'!$C$10)))</f>
        <v>0</v>
      </c>
      <c r="AA83" s="84" t="b">
        <f>IF($S83="","",AND('📦 Subscriptions'!$J72="Active",OR($X83="Downgrade",$X83="Switch to Annual")))</f>
        <v>0</v>
      </c>
    </row>
    <row r="84" spans="19:27">
      <c r="S84" s="84">
        <f>'📦 Subscriptions'!$B73</f>
        <v>0</v>
      </c>
      <c r="T84" s="84">
        <f>'📦 Subscriptions'!$C73</f>
        <v>0</v>
      </c>
      <c r="U84" s="8" t="str">
        <f>'📦 Subscriptions'!$G73</f>
        <v/>
      </c>
      <c r="V84" s="5">
        <f>'📦 Subscriptions'!$L73</f>
        <v>0</v>
      </c>
      <c r="W84" s="6">
        <f>'📦 Subscriptions'!$M73</f>
        <v>0</v>
      </c>
      <c r="X84" s="84">
        <f>'📦 Subscriptions'!$N73</f>
        <v>0</v>
      </c>
      <c r="Y84" s="84" t="b">
        <f>IF($S84="","",AND('📦 Subscriptions'!$J73="Active",COUNTIFS('📦 Subscriptions'!$C$6:$C$205,$T84,'📦 Subscriptions'!$J$6:$J$205,"Active")&gt;1,$U84&gt;0))</f>
        <v>0</v>
      </c>
      <c r="Z84" s="84" t="b">
        <f>IF($S84="","",AND('📦 Subscriptions'!$J73="Active",OR('⚙️ Settings'!$C$7-$V84&gt;='⚙️ Settings'!$C$9,$W84&lt;'⚙️ Settings'!$C$10)))</f>
        <v>0</v>
      </c>
      <c r="AA84" s="84" t="b">
        <f>IF($S84="","",AND('📦 Subscriptions'!$J73="Active",OR($X84="Downgrade",$X84="Switch to Annual")))</f>
        <v>0</v>
      </c>
    </row>
    <row r="85" spans="19:27">
      <c r="S85" s="84">
        <f>'📦 Subscriptions'!$B74</f>
        <v>0</v>
      </c>
      <c r="T85" s="84">
        <f>'📦 Subscriptions'!$C74</f>
        <v>0</v>
      </c>
      <c r="U85" s="8" t="str">
        <f>'📦 Subscriptions'!$G74</f>
        <v/>
      </c>
      <c r="V85" s="5">
        <f>'📦 Subscriptions'!$L74</f>
        <v>0</v>
      </c>
      <c r="W85" s="6">
        <f>'📦 Subscriptions'!$M74</f>
        <v>0</v>
      </c>
      <c r="X85" s="84">
        <f>'📦 Subscriptions'!$N74</f>
        <v>0</v>
      </c>
      <c r="Y85" s="84" t="b">
        <f>IF($S85="","",AND('📦 Subscriptions'!$J74="Active",COUNTIFS('📦 Subscriptions'!$C$6:$C$205,$T85,'📦 Subscriptions'!$J$6:$J$205,"Active")&gt;1,$U85&gt;0))</f>
        <v>0</v>
      </c>
      <c r="Z85" s="84" t="b">
        <f>IF($S85="","",AND('📦 Subscriptions'!$J74="Active",OR('⚙️ Settings'!$C$7-$V85&gt;='⚙️ Settings'!$C$9,$W85&lt;'⚙️ Settings'!$C$10)))</f>
        <v>0</v>
      </c>
      <c r="AA85" s="84" t="b">
        <f>IF($S85="","",AND('📦 Subscriptions'!$J74="Active",OR($X85="Downgrade",$X85="Switch to Annual")))</f>
        <v>0</v>
      </c>
    </row>
    <row r="86" spans="19:27">
      <c r="S86" s="84">
        <f>'📦 Subscriptions'!$B75</f>
        <v>0</v>
      </c>
      <c r="T86" s="84">
        <f>'📦 Subscriptions'!$C75</f>
        <v>0</v>
      </c>
      <c r="U86" s="8" t="str">
        <f>'📦 Subscriptions'!$G75</f>
        <v/>
      </c>
      <c r="V86" s="5">
        <f>'📦 Subscriptions'!$L75</f>
        <v>0</v>
      </c>
      <c r="W86" s="6">
        <f>'📦 Subscriptions'!$M75</f>
        <v>0</v>
      </c>
      <c r="X86" s="84">
        <f>'📦 Subscriptions'!$N75</f>
        <v>0</v>
      </c>
      <c r="Y86" s="84" t="b">
        <f>IF($S86="","",AND('📦 Subscriptions'!$J75="Active",COUNTIFS('📦 Subscriptions'!$C$6:$C$205,$T86,'📦 Subscriptions'!$J$6:$J$205,"Active")&gt;1,$U86&gt;0))</f>
        <v>0</v>
      </c>
      <c r="Z86" s="84" t="b">
        <f>IF($S86="","",AND('📦 Subscriptions'!$J75="Active",OR('⚙️ Settings'!$C$7-$V86&gt;='⚙️ Settings'!$C$9,$W86&lt;'⚙️ Settings'!$C$10)))</f>
        <v>0</v>
      </c>
      <c r="AA86" s="84" t="b">
        <f>IF($S86="","",AND('📦 Subscriptions'!$J75="Active",OR($X86="Downgrade",$X86="Switch to Annual")))</f>
        <v>0</v>
      </c>
    </row>
    <row r="87" spans="19:27">
      <c r="S87" s="84">
        <f>'📦 Subscriptions'!$B76</f>
        <v>0</v>
      </c>
      <c r="T87" s="84">
        <f>'📦 Subscriptions'!$C76</f>
        <v>0</v>
      </c>
      <c r="U87" s="8" t="str">
        <f>'📦 Subscriptions'!$G76</f>
        <v/>
      </c>
      <c r="V87" s="5">
        <f>'📦 Subscriptions'!$L76</f>
        <v>0</v>
      </c>
      <c r="W87" s="6">
        <f>'📦 Subscriptions'!$M76</f>
        <v>0</v>
      </c>
      <c r="X87" s="84">
        <f>'📦 Subscriptions'!$N76</f>
        <v>0</v>
      </c>
      <c r="Y87" s="84" t="b">
        <f>IF($S87="","",AND('📦 Subscriptions'!$J76="Active",COUNTIFS('📦 Subscriptions'!$C$6:$C$205,$T87,'📦 Subscriptions'!$J$6:$J$205,"Active")&gt;1,$U87&gt;0))</f>
        <v>0</v>
      </c>
      <c r="Z87" s="84" t="b">
        <f>IF($S87="","",AND('📦 Subscriptions'!$J76="Active",OR('⚙️ Settings'!$C$7-$V87&gt;='⚙️ Settings'!$C$9,$W87&lt;'⚙️ Settings'!$C$10)))</f>
        <v>0</v>
      </c>
      <c r="AA87" s="84" t="b">
        <f>IF($S87="","",AND('📦 Subscriptions'!$J76="Active",OR($X87="Downgrade",$X87="Switch to Annual")))</f>
        <v>0</v>
      </c>
    </row>
    <row r="88" spans="19:27">
      <c r="S88" s="84">
        <f>'📦 Subscriptions'!$B77</f>
        <v>0</v>
      </c>
      <c r="T88" s="84">
        <f>'📦 Subscriptions'!$C77</f>
        <v>0</v>
      </c>
      <c r="U88" s="8" t="str">
        <f>'📦 Subscriptions'!$G77</f>
        <v/>
      </c>
      <c r="V88" s="5">
        <f>'📦 Subscriptions'!$L77</f>
        <v>0</v>
      </c>
      <c r="W88" s="6">
        <f>'📦 Subscriptions'!$M77</f>
        <v>0</v>
      </c>
      <c r="X88" s="84">
        <f>'📦 Subscriptions'!$N77</f>
        <v>0</v>
      </c>
      <c r="Y88" s="84" t="b">
        <f>IF($S88="","",AND('📦 Subscriptions'!$J77="Active",COUNTIFS('📦 Subscriptions'!$C$6:$C$205,$T88,'📦 Subscriptions'!$J$6:$J$205,"Active")&gt;1,$U88&gt;0))</f>
        <v>0</v>
      </c>
      <c r="Z88" s="84" t="b">
        <f>IF($S88="","",AND('📦 Subscriptions'!$J77="Active",OR('⚙️ Settings'!$C$7-$V88&gt;='⚙️ Settings'!$C$9,$W88&lt;'⚙️ Settings'!$C$10)))</f>
        <v>0</v>
      </c>
      <c r="AA88" s="84" t="b">
        <f>IF($S88="","",AND('📦 Subscriptions'!$J77="Active",OR($X88="Downgrade",$X88="Switch to Annual")))</f>
        <v>0</v>
      </c>
    </row>
    <row r="89" spans="19:27">
      <c r="S89" s="84">
        <f>'📦 Subscriptions'!$B78</f>
        <v>0</v>
      </c>
      <c r="T89" s="84">
        <f>'📦 Subscriptions'!$C78</f>
        <v>0</v>
      </c>
      <c r="U89" s="8" t="str">
        <f>'📦 Subscriptions'!$G78</f>
        <v/>
      </c>
      <c r="V89" s="5">
        <f>'📦 Subscriptions'!$L78</f>
        <v>0</v>
      </c>
      <c r="W89" s="6">
        <f>'📦 Subscriptions'!$M78</f>
        <v>0</v>
      </c>
      <c r="X89" s="84">
        <f>'📦 Subscriptions'!$N78</f>
        <v>0</v>
      </c>
      <c r="Y89" s="84" t="b">
        <f>IF($S89="","",AND('📦 Subscriptions'!$J78="Active",COUNTIFS('📦 Subscriptions'!$C$6:$C$205,$T89,'📦 Subscriptions'!$J$6:$J$205,"Active")&gt;1,$U89&gt;0))</f>
        <v>0</v>
      </c>
      <c r="Z89" s="84" t="b">
        <f>IF($S89="","",AND('📦 Subscriptions'!$J78="Active",OR('⚙️ Settings'!$C$7-$V89&gt;='⚙️ Settings'!$C$9,$W89&lt;'⚙️ Settings'!$C$10)))</f>
        <v>0</v>
      </c>
      <c r="AA89" s="84" t="b">
        <f>IF($S89="","",AND('📦 Subscriptions'!$J78="Active",OR($X89="Downgrade",$X89="Switch to Annual")))</f>
        <v>0</v>
      </c>
    </row>
    <row r="90" spans="19:27">
      <c r="S90" s="84">
        <f>'📦 Subscriptions'!$B79</f>
        <v>0</v>
      </c>
      <c r="T90" s="84">
        <f>'📦 Subscriptions'!$C79</f>
        <v>0</v>
      </c>
      <c r="U90" s="8" t="str">
        <f>'📦 Subscriptions'!$G79</f>
        <v/>
      </c>
      <c r="V90" s="5">
        <f>'📦 Subscriptions'!$L79</f>
        <v>0</v>
      </c>
      <c r="W90" s="6">
        <f>'📦 Subscriptions'!$M79</f>
        <v>0</v>
      </c>
      <c r="X90" s="84">
        <f>'📦 Subscriptions'!$N79</f>
        <v>0</v>
      </c>
      <c r="Y90" s="84" t="b">
        <f>IF($S90="","",AND('📦 Subscriptions'!$J79="Active",COUNTIFS('📦 Subscriptions'!$C$6:$C$205,$T90,'📦 Subscriptions'!$J$6:$J$205,"Active")&gt;1,$U90&gt;0))</f>
        <v>0</v>
      </c>
      <c r="Z90" s="84" t="b">
        <f>IF($S90="","",AND('📦 Subscriptions'!$J79="Active",OR('⚙️ Settings'!$C$7-$V90&gt;='⚙️ Settings'!$C$9,$W90&lt;'⚙️ Settings'!$C$10)))</f>
        <v>0</v>
      </c>
      <c r="AA90" s="84" t="b">
        <f>IF($S90="","",AND('📦 Subscriptions'!$J79="Active",OR($X90="Downgrade",$X90="Switch to Annual")))</f>
        <v>0</v>
      </c>
    </row>
    <row r="91" spans="19:27">
      <c r="S91" s="84">
        <f>'📦 Subscriptions'!$B80</f>
        <v>0</v>
      </c>
      <c r="T91" s="84">
        <f>'📦 Subscriptions'!$C80</f>
        <v>0</v>
      </c>
      <c r="U91" s="8" t="str">
        <f>'📦 Subscriptions'!$G80</f>
        <v/>
      </c>
      <c r="V91" s="5">
        <f>'📦 Subscriptions'!$L80</f>
        <v>0</v>
      </c>
      <c r="W91" s="6">
        <f>'📦 Subscriptions'!$M80</f>
        <v>0</v>
      </c>
      <c r="X91" s="84">
        <f>'📦 Subscriptions'!$N80</f>
        <v>0</v>
      </c>
      <c r="Y91" s="84" t="b">
        <f>IF($S91="","",AND('📦 Subscriptions'!$J80="Active",COUNTIFS('📦 Subscriptions'!$C$6:$C$205,$T91,'📦 Subscriptions'!$J$6:$J$205,"Active")&gt;1,$U91&gt;0))</f>
        <v>0</v>
      </c>
      <c r="Z91" s="84" t="b">
        <f>IF($S91="","",AND('📦 Subscriptions'!$J80="Active",OR('⚙️ Settings'!$C$7-$V91&gt;='⚙️ Settings'!$C$9,$W91&lt;'⚙️ Settings'!$C$10)))</f>
        <v>0</v>
      </c>
      <c r="AA91" s="84" t="b">
        <f>IF($S91="","",AND('📦 Subscriptions'!$J80="Active",OR($X91="Downgrade",$X91="Switch to Annual")))</f>
        <v>0</v>
      </c>
    </row>
    <row r="92" spans="19:27">
      <c r="S92" s="84">
        <f>'📦 Subscriptions'!$B81</f>
        <v>0</v>
      </c>
      <c r="T92" s="84">
        <f>'📦 Subscriptions'!$C81</f>
        <v>0</v>
      </c>
      <c r="U92" s="8" t="str">
        <f>'📦 Subscriptions'!$G81</f>
        <v/>
      </c>
      <c r="V92" s="5">
        <f>'📦 Subscriptions'!$L81</f>
        <v>0</v>
      </c>
      <c r="W92" s="6">
        <f>'📦 Subscriptions'!$M81</f>
        <v>0</v>
      </c>
      <c r="X92" s="84">
        <f>'📦 Subscriptions'!$N81</f>
        <v>0</v>
      </c>
      <c r="Y92" s="84" t="b">
        <f>IF($S92="","",AND('📦 Subscriptions'!$J81="Active",COUNTIFS('📦 Subscriptions'!$C$6:$C$205,$T92,'📦 Subscriptions'!$J$6:$J$205,"Active")&gt;1,$U92&gt;0))</f>
        <v>0</v>
      </c>
      <c r="Z92" s="84" t="b">
        <f>IF($S92="","",AND('📦 Subscriptions'!$J81="Active",OR('⚙️ Settings'!$C$7-$V92&gt;='⚙️ Settings'!$C$9,$W92&lt;'⚙️ Settings'!$C$10)))</f>
        <v>0</v>
      </c>
      <c r="AA92" s="84" t="b">
        <f>IF($S92="","",AND('📦 Subscriptions'!$J81="Active",OR($X92="Downgrade",$X92="Switch to Annual")))</f>
        <v>0</v>
      </c>
    </row>
    <row r="93" spans="19:27">
      <c r="S93" s="84">
        <f>'📦 Subscriptions'!$B82</f>
        <v>0</v>
      </c>
      <c r="T93" s="84">
        <f>'📦 Subscriptions'!$C82</f>
        <v>0</v>
      </c>
      <c r="U93" s="8" t="str">
        <f>'📦 Subscriptions'!$G82</f>
        <v/>
      </c>
      <c r="V93" s="5">
        <f>'📦 Subscriptions'!$L82</f>
        <v>0</v>
      </c>
      <c r="W93" s="6">
        <f>'📦 Subscriptions'!$M82</f>
        <v>0</v>
      </c>
      <c r="X93" s="84">
        <f>'📦 Subscriptions'!$N82</f>
        <v>0</v>
      </c>
      <c r="Y93" s="84" t="b">
        <f>IF($S93="","",AND('📦 Subscriptions'!$J82="Active",COUNTIFS('📦 Subscriptions'!$C$6:$C$205,$T93,'📦 Subscriptions'!$J$6:$J$205,"Active")&gt;1,$U93&gt;0))</f>
        <v>0</v>
      </c>
      <c r="Z93" s="84" t="b">
        <f>IF($S93="","",AND('📦 Subscriptions'!$J82="Active",OR('⚙️ Settings'!$C$7-$V93&gt;='⚙️ Settings'!$C$9,$W93&lt;'⚙️ Settings'!$C$10)))</f>
        <v>0</v>
      </c>
      <c r="AA93" s="84" t="b">
        <f>IF($S93="","",AND('📦 Subscriptions'!$J82="Active",OR($X93="Downgrade",$X93="Switch to Annual")))</f>
        <v>0</v>
      </c>
    </row>
    <row r="94" spans="19:27">
      <c r="S94" s="84">
        <f>'📦 Subscriptions'!$B83</f>
        <v>0</v>
      </c>
      <c r="T94" s="84">
        <f>'📦 Subscriptions'!$C83</f>
        <v>0</v>
      </c>
      <c r="U94" s="8" t="str">
        <f>'📦 Subscriptions'!$G83</f>
        <v/>
      </c>
      <c r="V94" s="5">
        <f>'📦 Subscriptions'!$L83</f>
        <v>0</v>
      </c>
      <c r="W94" s="6">
        <f>'📦 Subscriptions'!$M83</f>
        <v>0</v>
      </c>
      <c r="X94" s="84">
        <f>'📦 Subscriptions'!$N83</f>
        <v>0</v>
      </c>
      <c r="Y94" s="84" t="b">
        <f>IF($S94="","",AND('📦 Subscriptions'!$J83="Active",COUNTIFS('📦 Subscriptions'!$C$6:$C$205,$T94,'📦 Subscriptions'!$J$6:$J$205,"Active")&gt;1,$U94&gt;0))</f>
        <v>0</v>
      </c>
      <c r="Z94" s="84" t="b">
        <f>IF($S94="","",AND('📦 Subscriptions'!$J83="Active",OR('⚙️ Settings'!$C$7-$V94&gt;='⚙️ Settings'!$C$9,$W94&lt;'⚙️ Settings'!$C$10)))</f>
        <v>0</v>
      </c>
      <c r="AA94" s="84" t="b">
        <f>IF($S94="","",AND('📦 Subscriptions'!$J83="Active",OR($X94="Downgrade",$X94="Switch to Annual")))</f>
        <v>0</v>
      </c>
    </row>
    <row r="95" spans="19:27">
      <c r="S95" s="84">
        <f>'📦 Subscriptions'!$B84</f>
        <v>0</v>
      </c>
      <c r="T95" s="84">
        <f>'📦 Subscriptions'!$C84</f>
        <v>0</v>
      </c>
      <c r="U95" s="8" t="str">
        <f>'📦 Subscriptions'!$G84</f>
        <v/>
      </c>
      <c r="V95" s="5">
        <f>'📦 Subscriptions'!$L84</f>
        <v>0</v>
      </c>
      <c r="W95" s="6">
        <f>'📦 Subscriptions'!$M84</f>
        <v>0</v>
      </c>
      <c r="X95" s="84">
        <f>'📦 Subscriptions'!$N84</f>
        <v>0</v>
      </c>
      <c r="Y95" s="84" t="b">
        <f>IF($S95="","",AND('📦 Subscriptions'!$J84="Active",COUNTIFS('📦 Subscriptions'!$C$6:$C$205,$T95,'📦 Subscriptions'!$J$6:$J$205,"Active")&gt;1,$U95&gt;0))</f>
        <v>0</v>
      </c>
      <c r="Z95" s="84" t="b">
        <f>IF($S95="","",AND('📦 Subscriptions'!$J84="Active",OR('⚙️ Settings'!$C$7-$V95&gt;='⚙️ Settings'!$C$9,$W95&lt;'⚙️ Settings'!$C$10)))</f>
        <v>0</v>
      </c>
      <c r="AA95" s="84" t="b">
        <f>IF($S95="","",AND('📦 Subscriptions'!$J84="Active",OR($X95="Downgrade",$X95="Switch to Annual")))</f>
        <v>0</v>
      </c>
    </row>
    <row r="96" spans="19:27">
      <c r="S96" s="84">
        <f>'📦 Subscriptions'!$B85</f>
        <v>0</v>
      </c>
      <c r="T96" s="84">
        <f>'📦 Subscriptions'!$C85</f>
        <v>0</v>
      </c>
      <c r="U96" s="8" t="str">
        <f>'📦 Subscriptions'!$G85</f>
        <v/>
      </c>
      <c r="V96" s="5">
        <f>'📦 Subscriptions'!$L85</f>
        <v>0</v>
      </c>
      <c r="W96" s="6">
        <f>'📦 Subscriptions'!$M85</f>
        <v>0</v>
      </c>
      <c r="X96" s="84">
        <f>'📦 Subscriptions'!$N85</f>
        <v>0</v>
      </c>
      <c r="Y96" s="84" t="b">
        <f>IF($S96="","",AND('📦 Subscriptions'!$J85="Active",COUNTIFS('📦 Subscriptions'!$C$6:$C$205,$T96,'📦 Subscriptions'!$J$6:$J$205,"Active")&gt;1,$U96&gt;0))</f>
        <v>0</v>
      </c>
      <c r="Z96" s="84" t="b">
        <f>IF($S96="","",AND('📦 Subscriptions'!$J85="Active",OR('⚙️ Settings'!$C$7-$V96&gt;='⚙️ Settings'!$C$9,$W96&lt;'⚙️ Settings'!$C$10)))</f>
        <v>0</v>
      </c>
      <c r="AA96" s="84" t="b">
        <f>IF($S96="","",AND('📦 Subscriptions'!$J85="Active",OR($X96="Downgrade",$X96="Switch to Annual")))</f>
        <v>0</v>
      </c>
    </row>
    <row r="97" spans="19:27">
      <c r="S97" s="84">
        <f>'📦 Subscriptions'!$B86</f>
        <v>0</v>
      </c>
      <c r="T97" s="84">
        <f>'📦 Subscriptions'!$C86</f>
        <v>0</v>
      </c>
      <c r="U97" s="8" t="str">
        <f>'📦 Subscriptions'!$G86</f>
        <v/>
      </c>
      <c r="V97" s="5">
        <f>'📦 Subscriptions'!$L86</f>
        <v>0</v>
      </c>
      <c r="W97" s="6">
        <f>'📦 Subscriptions'!$M86</f>
        <v>0</v>
      </c>
      <c r="X97" s="84">
        <f>'📦 Subscriptions'!$N86</f>
        <v>0</v>
      </c>
      <c r="Y97" s="84" t="b">
        <f>IF($S97="","",AND('📦 Subscriptions'!$J86="Active",COUNTIFS('📦 Subscriptions'!$C$6:$C$205,$T97,'📦 Subscriptions'!$J$6:$J$205,"Active")&gt;1,$U97&gt;0))</f>
        <v>0</v>
      </c>
      <c r="Z97" s="84" t="b">
        <f>IF($S97="","",AND('📦 Subscriptions'!$J86="Active",OR('⚙️ Settings'!$C$7-$V97&gt;='⚙️ Settings'!$C$9,$W97&lt;'⚙️ Settings'!$C$10)))</f>
        <v>0</v>
      </c>
      <c r="AA97" s="84" t="b">
        <f>IF($S97="","",AND('📦 Subscriptions'!$J86="Active",OR($X97="Downgrade",$X97="Switch to Annual")))</f>
        <v>0</v>
      </c>
    </row>
    <row r="98" spans="19:27">
      <c r="S98" s="84">
        <f>'📦 Subscriptions'!$B87</f>
        <v>0</v>
      </c>
      <c r="T98" s="84">
        <f>'📦 Subscriptions'!$C87</f>
        <v>0</v>
      </c>
      <c r="U98" s="8" t="str">
        <f>'📦 Subscriptions'!$G87</f>
        <v/>
      </c>
      <c r="V98" s="5">
        <f>'📦 Subscriptions'!$L87</f>
        <v>0</v>
      </c>
      <c r="W98" s="6">
        <f>'📦 Subscriptions'!$M87</f>
        <v>0</v>
      </c>
      <c r="X98" s="84">
        <f>'📦 Subscriptions'!$N87</f>
        <v>0</v>
      </c>
      <c r="Y98" s="84" t="b">
        <f>IF($S98="","",AND('📦 Subscriptions'!$J87="Active",COUNTIFS('📦 Subscriptions'!$C$6:$C$205,$T98,'📦 Subscriptions'!$J$6:$J$205,"Active")&gt;1,$U98&gt;0))</f>
        <v>0</v>
      </c>
      <c r="Z98" s="84" t="b">
        <f>IF($S98="","",AND('📦 Subscriptions'!$J87="Active",OR('⚙️ Settings'!$C$7-$V98&gt;='⚙️ Settings'!$C$9,$W98&lt;'⚙️ Settings'!$C$10)))</f>
        <v>0</v>
      </c>
      <c r="AA98" s="84" t="b">
        <f>IF($S98="","",AND('📦 Subscriptions'!$J87="Active",OR($X98="Downgrade",$X98="Switch to Annual")))</f>
        <v>0</v>
      </c>
    </row>
    <row r="99" spans="19:27">
      <c r="S99" s="84">
        <f>'📦 Subscriptions'!$B88</f>
        <v>0</v>
      </c>
      <c r="T99" s="84">
        <f>'📦 Subscriptions'!$C88</f>
        <v>0</v>
      </c>
      <c r="U99" s="8" t="str">
        <f>'📦 Subscriptions'!$G88</f>
        <v/>
      </c>
      <c r="V99" s="5">
        <f>'📦 Subscriptions'!$L88</f>
        <v>0</v>
      </c>
      <c r="W99" s="6">
        <f>'📦 Subscriptions'!$M88</f>
        <v>0</v>
      </c>
      <c r="X99" s="84">
        <f>'📦 Subscriptions'!$N88</f>
        <v>0</v>
      </c>
      <c r="Y99" s="84" t="b">
        <f>IF($S99="","",AND('📦 Subscriptions'!$J88="Active",COUNTIFS('📦 Subscriptions'!$C$6:$C$205,$T99,'📦 Subscriptions'!$J$6:$J$205,"Active")&gt;1,$U99&gt;0))</f>
        <v>0</v>
      </c>
      <c r="Z99" s="84" t="b">
        <f>IF($S99="","",AND('📦 Subscriptions'!$J88="Active",OR('⚙️ Settings'!$C$7-$V99&gt;='⚙️ Settings'!$C$9,$W99&lt;'⚙️ Settings'!$C$10)))</f>
        <v>0</v>
      </c>
      <c r="AA99" s="84" t="b">
        <f>IF($S99="","",AND('📦 Subscriptions'!$J88="Active",OR($X99="Downgrade",$X99="Switch to Annual")))</f>
        <v>0</v>
      </c>
    </row>
    <row r="100" spans="19:27">
      <c r="S100" s="84">
        <f>'📦 Subscriptions'!$B89</f>
        <v>0</v>
      </c>
      <c r="T100" s="84">
        <f>'📦 Subscriptions'!$C89</f>
        <v>0</v>
      </c>
      <c r="U100" s="8" t="str">
        <f>'📦 Subscriptions'!$G89</f>
        <v/>
      </c>
      <c r="V100" s="5">
        <f>'📦 Subscriptions'!$L89</f>
        <v>0</v>
      </c>
      <c r="W100" s="6">
        <f>'📦 Subscriptions'!$M89</f>
        <v>0</v>
      </c>
      <c r="X100" s="84">
        <f>'📦 Subscriptions'!$N89</f>
        <v>0</v>
      </c>
      <c r="Y100" s="84" t="b">
        <f>IF($S100="","",AND('📦 Subscriptions'!$J89="Active",COUNTIFS('📦 Subscriptions'!$C$6:$C$205,$T100,'📦 Subscriptions'!$J$6:$J$205,"Active")&gt;1,$U100&gt;0))</f>
        <v>0</v>
      </c>
      <c r="Z100" s="84" t="b">
        <f>IF($S100="","",AND('📦 Subscriptions'!$J89="Active",OR('⚙️ Settings'!$C$7-$V100&gt;='⚙️ Settings'!$C$9,$W100&lt;'⚙️ Settings'!$C$10)))</f>
        <v>0</v>
      </c>
      <c r="AA100" s="84" t="b">
        <f>IF($S100="","",AND('📦 Subscriptions'!$J89="Active",OR($X100="Downgrade",$X100="Switch to Annual")))</f>
        <v>0</v>
      </c>
    </row>
    <row r="101" spans="19:27">
      <c r="S101" s="84">
        <f>'📦 Subscriptions'!$B90</f>
        <v>0</v>
      </c>
      <c r="T101" s="84">
        <f>'📦 Subscriptions'!$C90</f>
        <v>0</v>
      </c>
      <c r="U101" s="8" t="str">
        <f>'📦 Subscriptions'!$G90</f>
        <v/>
      </c>
      <c r="V101" s="5">
        <f>'📦 Subscriptions'!$L90</f>
        <v>0</v>
      </c>
      <c r="W101" s="6">
        <f>'📦 Subscriptions'!$M90</f>
        <v>0</v>
      </c>
      <c r="X101" s="84">
        <f>'📦 Subscriptions'!$N90</f>
        <v>0</v>
      </c>
      <c r="Y101" s="84" t="b">
        <f>IF($S101="","",AND('📦 Subscriptions'!$J90="Active",COUNTIFS('📦 Subscriptions'!$C$6:$C$205,$T101,'📦 Subscriptions'!$J$6:$J$205,"Active")&gt;1,$U101&gt;0))</f>
        <v>0</v>
      </c>
      <c r="Z101" s="84" t="b">
        <f>IF($S101="","",AND('📦 Subscriptions'!$J90="Active",OR('⚙️ Settings'!$C$7-$V101&gt;='⚙️ Settings'!$C$9,$W101&lt;'⚙️ Settings'!$C$10)))</f>
        <v>0</v>
      </c>
      <c r="AA101" s="84" t="b">
        <f>IF($S101="","",AND('📦 Subscriptions'!$J90="Active",OR($X101="Downgrade",$X101="Switch to Annual")))</f>
        <v>0</v>
      </c>
    </row>
    <row r="102" spans="19:27">
      <c r="S102" s="84">
        <f>'📦 Subscriptions'!$B91</f>
        <v>0</v>
      </c>
      <c r="T102" s="84">
        <f>'📦 Subscriptions'!$C91</f>
        <v>0</v>
      </c>
      <c r="U102" s="8" t="str">
        <f>'📦 Subscriptions'!$G91</f>
        <v/>
      </c>
      <c r="V102" s="5">
        <f>'📦 Subscriptions'!$L91</f>
        <v>0</v>
      </c>
      <c r="W102" s="6">
        <f>'📦 Subscriptions'!$M91</f>
        <v>0</v>
      </c>
      <c r="X102" s="84">
        <f>'📦 Subscriptions'!$N91</f>
        <v>0</v>
      </c>
      <c r="Y102" s="84" t="b">
        <f>IF($S102="","",AND('📦 Subscriptions'!$J91="Active",COUNTIFS('📦 Subscriptions'!$C$6:$C$205,$T102,'📦 Subscriptions'!$J$6:$J$205,"Active")&gt;1,$U102&gt;0))</f>
        <v>0</v>
      </c>
      <c r="Z102" s="84" t="b">
        <f>IF($S102="","",AND('📦 Subscriptions'!$J91="Active",OR('⚙️ Settings'!$C$7-$V102&gt;='⚙️ Settings'!$C$9,$W102&lt;'⚙️ Settings'!$C$10)))</f>
        <v>0</v>
      </c>
      <c r="AA102" s="84" t="b">
        <f>IF($S102="","",AND('📦 Subscriptions'!$J91="Active",OR($X102="Downgrade",$X102="Switch to Annual")))</f>
        <v>0</v>
      </c>
    </row>
    <row r="103" spans="19:27">
      <c r="S103" s="84">
        <f>'📦 Subscriptions'!$B92</f>
        <v>0</v>
      </c>
      <c r="T103" s="84">
        <f>'📦 Subscriptions'!$C92</f>
        <v>0</v>
      </c>
      <c r="U103" s="8" t="str">
        <f>'📦 Subscriptions'!$G92</f>
        <v/>
      </c>
      <c r="V103" s="5">
        <f>'📦 Subscriptions'!$L92</f>
        <v>0</v>
      </c>
      <c r="W103" s="6">
        <f>'📦 Subscriptions'!$M92</f>
        <v>0</v>
      </c>
      <c r="X103" s="84">
        <f>'📦 Subscriptions'!$N92</f>
        <v>0</v>
      </c>
      <c r="Y103" s="84" t="b">
        <f>IF($S103="","",AND('📦 Subscriptions'!$J92="Active",COUNTIFS('📦 Subscriptions'!$C$6:$C$205,$T103,'📦 Subscriptions'!$J$6:$J$205,"Active")&gt;1,$U103&gt;0))</f>
        <v>0</v>
      </c>
      <c r="Z103" s="84" t="b">
        <f>IF($S103="","",AND('📦 Subscriptions'!$J92="Active",OR('⚙️ Settings'!$C$7-$V103&gt;='⚙️ Settings'!$C$9,$W103&lt;'⚙️ Settings'!$C$10)))</f>
        <v>0</v>
      </c>
      <c r="AA103" s="84" t="b">
        <f>IF($S103="","",AND('📦 Subscriptions'!$J92="Active",OR($X103="Downgrade",$X103="Switch to Annual")))</f>
        <v>0</v>
      </c>
    </row>
    <row r="104" spans="19:27">
      <c r="S104" s="84">
        <f>'📦 Subscriptions'!$B93</f>
        <v>0</v>
      </c>
      <c r="T104" s="84">
        <f>'📦 Subscriptions'!$C93</f>
        <v>0</v>
      </c>
      <c r="U104" s="8" t="str">
        <f>'📦 Subscriptions'!$G93</f>
        <v/>
      </c>
      <c r="V104" s="5">
        <f>'📦 Subscriptions'!$L93</f>
        <v>0</v>
      </c>
      <c r="W104" s="6">
        <f>'📦 Subscriptions'!$M93</f>
        <v>0</v>
      </c>
      <c r="X104" s="84">
        <f>'📦 Subscriptions'!$N93</f>
        <v>0</v>
      </c>
      <c r="Y104" s="84" t="b">
        <f>IF($S104="","",AND('📦 Subscriptions'!$J93="Active",COUNTIFS('📦 Subscriptions'!$C$6:$C$205,$T104,'📦 Subscriptions'!$J$6:$J$205,"Active")&gt;1,$U104&gt;0))</f>
        <v>0</v>
      </c>
      <c r="Z104" s="84" t="b">
        <f>IF($S104="","",AND('📦 Subscriptions'!$J93="Active",OR('⚙️ Settings'!$C$7-$V104&gt;='⚙️ Settings'!$C$9,$W104&lt;'⚙️ Settings'!$C$10)))</f>
        <v>0</v>
      </c>
      <c r="AA104" s="84" t="b">
        <f>IF($S104="","",AND('📦 Subscriptions'!$J93="Active",OR($X104="Downgrade",$X104="Switch to Annual")))</f>
        <v>0</v>
      </c>
    </row>
    <row r="105" spans="19:27">
      <c r="S105" s="84">
        <f>'📦 Subscriptions'!$B94</f>
        <v>0</v>
      </c>
      <c r="T105" s="84">
        <f>'📦 Subscriptions'!$C94</f>
        <v>0</v>
      </c>
      <c r="U105" s="8" t="str">
        <f>'📦 Subscriptions'!$G94</f>
        <v/>
      </c>
      <c r="V105" s="5">
        <f>'📦 Subscriptions'!$L94</f>
        <v>0</v>
      </c>
      <c r="W105" s="6">
        <f>'📦 Subscriptions'!$M94</f>
        <v>0</v>
      </c>
      <c r="X105" s="84">
        <f>'📦 Subscriptions'!$N94</f>
        <v>0</v>
      </c>
      <c r="Y105" s="84" t="b">
        <f>IF($S105="","",AND('📦 Subscriptions'!$J94="Active",COUNTIFS('📦 Subscriptions'!$C$6:$C$205,$T105,'📦 Subscriptions'!$J$6:$J$205,"Active")&gt;1,$U105&gt;0))</f>
        <v>0</v>
      </c>
      <c r="Z105" s="84" t="b">
        <f>IF($S105="","",AND('📦 Subscriptions'!$J94="Active",OR('⚙️ Settings'!$C$7-$V105&gt;='⚙️ Settings'!$C$9,$W105&lt;'⚙️ Settings'!$C$10)))</f>
        <v>0</v>
      </c>
      <c r="AA105" s="84" t="b">
        <f>IF($S105="","",AND('📦 Subscriptions'!$J94="Active",OR($X105="Downgrade",$X105="Switch to Annual")))</f>
        <v>0</v>
      </c>
    </row>
    <row r="106" spans="19:27">
      <c r="S106" s="84">
        <f>'📦 Subscriptions'!$B95</f>
        <v>0</v>
      </c>
      <c r="T106" s="84">
        <f>'📦 Subscriptions'!$C95</f>
        <v>0</v>
      </c>
      <c r="U106" s="8" t="str">
        <f>'📦 Subscriptions'!$G95</f>
        <v/>
      </c>
      <c r="V106" s="5">
        <f>'📦 Subscriptions'!$L95</f>
        <v>0</v>
      </c>
      <c r="W106" s="6">
        <f>'📦 Subscriptions'!$M95</f>
        <v>0</v>
      </c>
      <c r="X106" s="84">
        <f>'📦 Subscriptions'!$N95</f>
        <v>0</v>
      </c>
      <c r="Y106" s="84" t="b">
        <f>IF($S106="","",AND('📦 Subscriptions'!$J95="Active",COUNTIFS('📦 Subscriptions'!$C$6:$C$205,$T106,'📦 Subscriptions'!$J$6:$J$205,"Active")&gt;1,$U106&gt;0))</f>
        <v>0</v>
      </c>
      <c r="Z106" s="84" t="b">
        <f>IF($S106="","",AND('📦 Subscriptions'!$J95="Active",OR('⚙️ Settings'!$C$7-$V106&gt;='⚙️ Settings'!$C$9,$W106&lt;'⚙️ Settings'!$C$10)))</f>
        <v>0</v>
      </c>
      <c r="AA106" s="84" t="b">
        <f>IF($S106="","",AND('📦 Subscriptions'!$J95="Active",OR($X106="Downgrade",$X106="Switch to Annual")))</f>
        <v>0</v>
      </c>
    </row>
    <row r="107" spans="19:27">
      <c r="S107" s="84">
        <f>'📦 Subscriptions'!$B96</f>
        <v>0</v>
      </c>
      <c r="T107" s="84">
        <f>'📦 Subscriptions'!$C96</f>
        <v>0</v>
      </c>
      <c r="U107" s="8" t="str">
        <f>'📦 Subscriptions'!$G96</f>
        <v/>
      </c>
      <c r="V107" s="5">
        <f>'📦 Subscriptions'!$L96</f>
        <v>0</v>
      </c>
      <c r="W107" s="6">
        <f>'📦 Subscriptions'!$M96</f>
        <v>0</v>
      </c>
      <c r="X107" s="84">
        <f>'📦 Subscriptions'!$N96</f>
        <v>0</v>
      </c>
      <c r="Y107" s="84" t="b">
        <f>IF($S107="","",AND('📦 Subscriptions'!$J96="Active",COUNTIFS('📦 Subscriptions'!$C$6:$C$205,$T107,'📦 Subscriptions'!$J$6:$J$205,"Active")&gt;1,$U107&gt;0))</f>
        <v>0</v>
      </c>
      <c r="Z107" s="84" t="b">
        <f>IF($S107="","",AND('📦 Subscriptions'!$J96="Active",OR('⚙️ Settings'!$C$7-$V107&gt;='⚙️ Settings'!$C$9,$W107&lt;'⚙️ Settings'!$C$10)))</f>
        <v>0</v>
      </c>
      <c r="AA107" s="84" t="b">
        <f>IF($S107="","",AND('📦 Subscriptions'!$J96="Active",OR($X107="Downgrade",$X107="Switch to Annual")))</f>
        <v>0</v>
      </c>
    </row>
    <row r="108" spans="19:27">
      <c r="S108" s="84">
        <f>'📦 Subscriptions'!$B97</f>
        <v>0</v>
      </c>
      <c r="T108" s="84">
        <f>'📦 Subscriptions'!$C97</f>
        <v>0</v>
      </c>
      <c r="U108" s="8" t="str">
        <f>'📦 Subscriptions'!$G97</f>
        <v/>
      </c>
      <c r="V108" s="5">
        <f>'📦 Subscriptions'!$L97</f>
        <v>0</v>
      </c>
      <c r="W108" s="6">
        <f>'📦 Subscriptions'!$M97</f>
        <v>0</v>
      </c>
      <c r="X108" s="84">
        <f>'📦 Subscriptions'!$N97</f>
        <v>0</v>
      </c>
      <c r="Y108" s="84" t="b">
        <f>IF($S108="","",AND('📦 Subscriptions'!$J97="Active",COUNTIFS('📦 Subscriptions'!$C$6:$C$205,$T108,'📦 Subscriptions'!$J$6:$J$205,"Active")&gt;1,$U108&gt;0))</f>
        <v>0</v>
      </c>
      <c r="Z108" s="84" t="b">
        <f>IF($S108="","",AND('📦 Subscriptions'!$J97="Active",OR('⚙️ Settings'!$C$7-$V108&gt;='⚙️ Settings'!$C$9,$W108&lt;'⚙️ Settings'!$C$10)))</f>
        <v>0</v>
      </c>
      <c r="AA108" s="84" t="b">
        <f>IF($S108="","",AND('📦 Subscriptions'!$J97="Active",OR($X108="Downgrade",$X108="Switch to Annual")))</f>
        <v>0</v>
      </c>
    </row>
    <row r="109" spans="19:27">
      <c r="S109" s="84">
        <f>'📦 Subscriptions'!$B98</f>
        <v>0</v>
      </c>
      <c r="T109" s="84">
        <f>'📦 Subscriptions'!$C98</f>
        <v>0</v>
      </c>
      <c r="U109" s="8" t="str">
        <f>'📦 Subscriptions'!$G98</f>
        <v/>
      </c>
      <c r="V109" s="5">
        <f>'📦 Subscriptions'!$L98</f>
        <v>0</v>
      </c>
      <c r="W109" s="6">
        <f>'📦 Subscriptions'!$M98</f>
        <v>0</v>
      </c>
      <c r="X109" s="84">
        <f>'📦 Subscriptions'!$N98</f>
        <v>0</v>
      </c>
      <c r="Y109" s="84" t="b">
        <f>IF($S109="","",AND('📦 Subscriptions'!$J98="Active",COUNTIFS('📦 Subscriptions'!$C$6:$C$205,$T109,'📦 Subscriptions'!$J$6:$J$205,"Active")&gt;1,$U109&gt;0))</f>
        <v>0</v>
      </c>
      <c r="Z109" s="84" t="b">
        <f>IF($S109="","",AND('📦 Subscriptions'!$J98="Active",OR('⚙️ Settings'!$C$7-$V109&gt;='⚙️ Settings'!$C$9,$W109&lt;'⚙️ Settings'!$C$10)))</f>
        <v>0</v>
      </c>
      <c r="AA109" s="84" t="b">
        <f>IF($S109="","",AND('📦 Subscriptions'!$J98="Active",OR($X109="Downgrade",$X109="Switch to Annual")))</f>
        <v>0</v>
      </c>
    </row>
    <row r="110" spans="19:27">
      <c r="S110" s="84">
        <f>'📦 Subscriptions'!$B99</f>
        <v>0</v>
      </c>
      <c r="T110" s="84">
        <f>'📦 Subscriptions'!$C99</f>
        <v>0</v>
      </c>
      <c r="U110" s="8" t="str">
        <f>'📦 Subscriptions'!$G99</f>
        <v/>
      </c>
      <c r="V110" s="5">
        <f>'📦 Subscriptions'!$L99</f>
        <v>0</v>
      </c>
      <c r="W110" s="6">
        <f>'📦 Subscriptions'!$M99</f>
        <v>0</v>
      </c>
      <c r="X110" s="84">
        <f>'📦 Subscriptions'!$N99</f>
        <v>0</v>
      </c>
      <c r="Y110" s="84" t="b">
        <f>IF($S110="","",AND('📦 Subscriptions'!$J99="Active",COUNTIFS('📦 Subscriptions'!$C$6:$C$205,$T110,'📦 Subscriptions'!$J$6:$J$205,"Active")&gt;1,$U110&gt;0))</f>
        <v>0</v>
      </c>
      <c r="Z110" s="84" t="b">
        <f>IF($S110="","",AND('📦 Subscriptions'!$J99="Active",OR('⚙️ Settings'!$C$7-$V110&gt;='⚙️ Settings'!$C$9,$W110&lt;'⚙️ Settings'!$C$10)))</f>
        <v>0</v>
      </c>
      <c r="AA110" s="84" t="b">
        <f>IF($S110="","",AND('📦 Subscriptions'!$J99="Active",OR($X110="Downgrade",$X110="Switch to Annual")))</f>
        <v>0</v>
      </c>
    </row>
    <row r="111" spans="19:27">
      <c r="S111" s="84">
        <f>'📦 Subscriptions'!$B100</f>
        <v>0</v>
      </c>
      <c r="T111" s="84">
        <f>'📦 Subscriptions'!$C100</f>
        <v>0</v>
      </c>
      <c r="U111" s="8" t="str">
        <f>'📦 Subscriptions'!$G100</f>
        <v/>
      </c>
      <c r="V111" s="5">
        <f>'📦 Subscriptions'!$L100</f>
        <v>0</v>
      </c>
      <c r="W111" s="6">
        <f>'📦 Subscriptions'!$M100</f>
        <v>0</v>
      </c>
      <c r="X111" s="84">
        <f>'📦 Subscriptions'!$N100</f>
        <v>0</v>
      </c>
      <c r="Y111" s="84" t="b">
        <f>IF($S111="","",AND('📦 Subscriptions'!$J100="Active",COUNTIFS('📦 Subscriptions'!$C$6:$C$205,$T111,'📦 Subscriptions'!$J$6:$J$205,"Active")&gt;1,$U111&gt;0))</f>
        <v>0</v>
      </c>
      <c r="Z111" s="84" t="b">
        <f>IF($S111="","",AND('📦 Subscriptions'!$J100="Active",OR('⚙️ Settings'!$C$7-$V111&gt;='⚙️ Settings'!$C$9,$W111&lt;'⚙️ Settings'!$C$10)))</f>
        <v>0</v>
      </c>
      <c r="AA111" s="84" t="b">
        <f>IF($S111="","",AND('📦 Subscriptions'!$J100="Active",OR($X111="Downgrade",$X111="Switch to Annual")))</f>
        <v>0</v>
      </c>
    </row>
    <row r="112" spans="19:27">
      <c r="S112" s="84">
        <f>'📦 Subscriptions'!$B101</f>
        <v>0</v>
      </c>
      <c r="T112" s="84">
        <f>'📦 Subscriptions'!$C101</f>
        <v>0</v>
      </c>
      <c r="U112" s="8" t="str">
        <f>'📦 Subscriptions'!$G101</f>
        <v/>
      </c>
      <c r="V112" s="5">
        <f>'📦 Subscriptions'!$L101</f>
        <v>0</v>
      </c>
      <c r="W112" s="6">
        <f>'📦 Subscriptions'!$M101</f>
        <v>0</v>
      </c>
      <c r="X112" s="84">
        <f>'📦 Subscriptions'!$N101</f>
        <v>0</v>
      </c>
      <c r="Y112" s="84" t="b">
        <f>IF($S112="","",AND('📦 Subscriptions'!$J101="Active",COUNTIFS('📦 Subscriptions'!$C$6:$C$205,$T112,'📦 Subscriptions'!$J$6:$J$205,"Active")&gt;1,$U112&gt;0))</f>
        <v>0</v>
      </c>
      <c r="Z112" s="84" t="b">
        <f>IF($S112="","",AND('📦 Subscriptions'!$J101="Active",OR('⚙️ Settings'!$C$7-$V112&gt;='⚙️ Settings'!$C$9,$W112&lt;'⚙️ Settings'!$C$10)))</f>
        <v>0</v>
      </c>
      <c r="AA112" s="84" t="b">
        <f>IF($S112="","",AND('📦 Subscriptions'!$J101="Active",OR($X112="Downgrade",$X112="Switch to Annual")))</f>
        <v>0</v>
      </c>
    </row>
    <row r="113" spans="19:27">
      <c r="S113" s="84">
        <f>'📦 Subscriptions'!$B102</f>
        <v>0</v>
      </c>
      <c r="T113" s="84">
        <f>'📦 Subscriptions'!$C102</f>
        <v>0</v>
      </c>
      <c r="U113" s="8" t="str">
        <f>'📦 Subscriptions'!$G102</f>
        <v/>
      </c>
      <c r="V113" s="5">
        <f>'📦 Subscriptions'!$L102</f>
        <v>0</v>
      </c>
      <c r="W113" s="6">
        <f>'📦 Subscriptions'!$M102</f>
        <v>0</v>
      </c>
      <c r="X113" s="84">
        <f>'📦 Subscriptions'!$N102</f>
        <v>0</v>
      </c>
      <c r="Y113" s="84" t="b">
        <f>IF($S113="","",AND('📦 Subscriptions'!$J102="Active",COUNTIFS('📦 Subscriptions'!$C$6:$C$205,$T113,'📦 Subscriptions'!$J$6:$J$205,"Active")&gt;1,$U113&gt;0))</f>
        <v>0</v>
      </c>
      <c r="Z113" s="84" t="b">
        <f>IF($S113="","",AND('📦 Subscriptions'!$J102="Active",OR('⚙️ Settings'!$C$7-$V113&gt;='⚙️ Settings'!$C$9,$W113&lt;'⚙️ Settings'!$C$10)))</f>
        <v>0</v>
      </c>
      <c r="AA113" s="84" t="b">
        <f>IF($S113="","",AND('📦 Subscriptions'!$J102="Active",OR($X113="Downgrade",$X113="Switch to Annual")))</f>
        <v>0</v>
      </c>
    </row>
    <row r="114" spans="19:27">
      <c r="S114" s="84">
        <f>'📦 Subscriptions'!$B103</f>
        <v>0</v>
      </c>
      <c r="T114" s="84">
        <f>'📦 Subscriptions'!$C103</f>
        <v>0</v>
      </c>
      <c r="U114" s="8" t="str">
        <f>'📦 Subscriptions'!$G103</f>
        <v/>
      </c>
      <c r="V114" s="5">
        <f>'📦 Subscriptions'!$L103</f>
        <v>0</v>
      </c>
      <c r="W114" s="6">
        <f>'📦 Subscriptions'!$M103</f>
        <v>0</v>
      </c>
      <c r="X114" s="84">
        <f>'📦 Subscriptions'!$N103</f>
        <v>0</v>
      </c>
      <c r="Y114" s="84" t="b">
        <f>IF($S114="","",AND('📦 Subscriptions'!$J103="Active",COUNTIFS('📦 Subscriptions'!$C$6:$C$205,$T114,'📦 Subscriptions'!$J$6:$J$205,"Active")&gt;1,$U114&gt;0))</f>
        <v>0</v>
      </c>
      <c r="Z114" s="84" t="b">
        <f>IF($S114="","",AND('📦 Subscriptions'!$J103="Active",OR('⚙️ Settings'!$C$7-$V114&gt;='⚙️ Settings'!$C$9,$W114&lt;'⚙️ Settings'!$C$10)))</f>
        <v>0</v>
      </c>
      <c r="AA114" s="84" t="b">
        <f>IF($S114="","",AND('📦 Subscriptions'!$J103="Active",OR($X114="Downgrade",$X114="Switch to Annual")))</f>
        <v>0</v>
      </c>
    </row>
    <row r="115" spans="19:27">
      <c r="S115" s="84">
        <f>'📦 Subscriptions'!$B104</f>
        <v>0</v>
      </c>
      <c r="T115" s="84">
        <f>'📦 Subscriptions'!$C104</f>
        <v>0</v>
      </c>
      <c r="U115" s="8" t="str">
        <f>'📦 Subscriptions'!$G104</f>
        <v/>
      </c>
      <c r="V115" s="5">
        <f>'📦 Subscriptions'!$L104</f>
        <v>0</v>
      </c>
      <c r="W115" s="6">
        <f>'📦 Subscriptions'!$M104</f>
        <v>0</v>
      </c>
      <c r="X115" s="84">
        <f>'📦 Subscriptions'!$N104</f>
        <v>0</v>
      </c>
      <c r="Y115" s="84" t="b">
        <f>IF($S115="","",AND('📦 Subscriptions'!$J104="Active",COUNTIFS('📦 Subscriptions'!$C$6:$C$205,$T115,'📦 Subscriptions'!$J$6:$J$205,"Active")&gt;1,$U115&gt;0))</f>
        <v>0</v>
      </c>
      <c r="Z115" s="84" t="b">
        <f>IF($S115="","",AND('📦 Subscriptions'!$J104="Active",OR('⚙️ Settings'!$C$7-$V115&gt;='⚙️ Settings'!$C$9,$W115&lt;'⚙️ Settings'!$C$10)))</f>
        <v>0</v>
      </c>
      <c r="AA115" s="84" t="b">
        <f>IF($S115="","",AND('📦 Subscriptions'!$J104="Active",OR($X115="Downgrade",$X115="Switch to Annual")))</f>
        <v>0</v>
      </c>
    </row>
    <row r="116" spans="19:27">
      <c r="S116" s="84">
        <f>'📦 Subscriptions'!$B105</f>
        <v>0</v>
      </c>
      <c r="T116" s="84">
        <f>'📦 Subscriptions'!$C105</f>
        <v>0</v>
      </c>
      <c r="U116" s="8" t="str">
        <f>'📦 Subscriptions'!$G105</f>
        <v/>
      </c>
      <c r="V116" s="5">
        <f>'📦 Subscriptions'!$L105</f>
        <v>0</v>
      </c>
      <c r="W116" s="6">
        <f>'📦 Subscriptions'!$M105</f>
        <v>0</v>
      </c>
      <c r="X116" s="84">
        <f>'📦 Subscriptions'!$N105</f>
        <v>0</v>
      </c>
      <c r="Y116" s="84" t="b">
        <f>IF($S116="","",AND('📦 Subscriptions'!$J105="Active",COUNTIFS('📦 Subscriptions'!$C$6:$C$205,$T116,'📦 Subscriptions'!$J$6:$J$205,"Active")&gt;1,$U116&gt;0))</f>
        <v>0</v>
      </c>
      <c r="Z116" s="84" t="b">
        <f>IF($S116="","",AND('📦 Subscriptions'!$J105="Active",OR('⚙️ Settings'!$C$7-$V116&gt;='⚙️ Settings'!$C$9,$W116&lt;'⚙️ Settings'!$C$10)))</f>
        <v>0</v>
      </c>
      <c r="AA116" s="84" t="b">
        <f>IF($S116="","",AND('📦 Subscriptions'!$J105="Active",OR($X116="Downgrade",$X116="Switch to Annual")))</f>
        <v>0</v>
      </c>
    </row>
    <row r="117" spans="19:27">
      <c r="S117" s="84">
        <f>'📦 Subscriptions'!$B106</f>
        <v>0</v>
      </c>
      <c r="T117" s="84">
        <f>'📦 Subscriptions'!$C106</f>
        <v>0</v>
      </c>
      <c r="U117" s="8" t="str">
        <f>'📦 Subscriptions'!$G106</f>
        <v/>
      </c>
      <c r="V117" s="5">
        <f>'📦 Subscriptions'!$L106</f>
        <v>0</v>
      </c>
      <c r="W117" s="6">
        <f>'📦 Subscriptions'!$M106</f>
        <v>0</v>
      </c>
      <c r="X117" s="84">
        <f>'📦 Subscriptions'!$N106</f>
        <v>0</v>
      </c>
      <c r="Y117" s="84" t="b">
        <f>IF($S117="","",AND('📦 Subscriptions'!$J106="Active",COUNTIFS('📦 Subscriptions'!$C$6:$C$205,$T117,'📦 Subscriptions'!$J$6:$J$205,"Active")&gt;1,$U117&gt;0))</f>
        <v>0</v>
      </c>
      <c r="Z117" s="84" t="b">
        <f>IF($S117="","",AND('📦 Subscriptions'!$J106="Active",OR('⚙️ Settings'!$C$7-$V117&gt;='⚙️ Settings'!$C$9,$W117&lt;'⚙️ Settings'!$C$10)))</f>
        <v>0</v>
      </c>
      <c r="AA117" s="84" t="b">
        <f>IF($S117="","",AND('📦 Subscriptions'!$J106="Active",OR($X117="Downgrade",$X117="Switch to Annual")))</f>
        <v>0</v>
      </c>
    </row>
    <row r="118" spans="19:27">
      <c r="S118" s="84">
        <f>'📦 Subscriptions'!$B107</f>
        <v>0</v>
      </c>
      <c r="T118" s="84">
        <f>'📦 Subscriptions'!$C107</f>
        <v>0</v>
      </c>
      <c r="U118" s="8" t="str">
        <f>'📦 Subscriptions'!$G107</f>
        <v/>
      </c>
      <c r="V118" s="5">
        <f>'📦 Subscriptions'!$L107</f>
        <v>0</v>
      </c>
      <c r="W118" s="6">
        <f>'📦 Subscriptions'!$M107</f>
        <v>0</v>
      </c>
      <c r="X118" s="84">
        <f>'📦 Subscriptions'!$N107</f>
        <v>0</v>
      </c>
      <c r="Y118" s="84" t="b">
        <f>IF($S118="","",AND('📦 Subscriptions'!$J107="Active",COUNTIFS('📦 Subscriptions'!$C$6:$C$205,$T118,'📦 Subscriptions'!$J$6:$J$205,"Active")&gt;1,$U118&gt;0))</f>
        <v>0</v>
      </c>
      <c r="Z118" s="84" t="b">
        <f>IF($S118="","",AND('📦 Subscriptions'!$J107="Active",OR('⚙️ Settings'!$C$7-$V118&gt;='⚙️ Settings'!$C$9,$W118&lt;'⚙️ Settings'!$C$10)))</f>
        <v>0</v>
      </c>
      <c r="AA118" s="84" t="b">
        <f>IF($S118="","",AND('📦 Subscriptions'!$J107="Active",OR($X118="Downgrade",$X118="Switch to Annual")))</f>
        <v>0</v>
      </c>
    </row>
    <row r="119" spans="19:27">
      <c r="S119" s="84">
        <f>'📦 Subscriptions'!$B108</f>
        <v>0</v>
      </c>
      <c r="T119" s="84">
        <f>'📦 Subscriptions'!$C108</f>
        <v>0</v>
      </c>
      <c r="U119" s="8" t="str">
        <f>'📦 Subscriptions'!$G108</f>
        <v/>
      </c>
      <c r="V119" s="5">
        <f>'📦 Subscriptions'!$L108</f>
        <v>0</v>
      </c>
      <c r="W119" s="6">
        <f>'📦 Subscriptions'!$M108</f>
        <v>0</v>
      </c>
      <c r="X119" s="84">
        <f>'📦 Subscriptions'!$N108</f>
        <v>0</v>
      </c>
      <c r="Y119" s="84" t="b">
        <f>IF($S119="","",AND('📦 Subscriptions'!$J108="Active",COUNTIFS('📦 Subscriptions'!$C$6:$C$205,$T119,'📦 Subscriptions'!$J$6:$J$205,"Active")&gt;1,$U119&gt;0))</f>
        <v>0</v>
      </c>
      <c r="Z119" s="84" t="b">
        <f>IF($S119="","",AND('📦 Subscriptions'!$J108="Active",OR('⚙️ Settings'!$C$7-$V119&gt;='⚙️ Settings'!$C$9,$W119&lt;'⚙️ Settings'!$C$10)))</f>
        <v>0</v>
      </c>
      <c r="AA119" s="84" t="b">
        <f>IF($S119="","",AND('📦 Subscriptions'!$J108="Active",OR($X119="Downgrade",$X119="Switch to Annual")))</f>
        <v>0</v>
      </c>
    </row>
    <row r="120" spans="19:27">
      <c r="S120" s="84">
        <f>'📦 Subscriptions'!$B109</f>
        <v>0</v>
      </c>
      <c r="T120" s="84">
        <f>'📦 Subscriptions'!$C109</f>
        <v>0</v>
      </c>
      <c r="U120" s="8" t="str">
        <f>'📦 Subscriptions'!$G109</f>
        <v/>
      </c>
      <c r="V120" s="5">
        <f>'📦 Subscriptions'!$L109</f>
        <v>0</v>
      </c>
      <c r="W120" s="6">
        <f>'📦 Subscriptions'!$M109</f>
        <v>0</v>
      </c>
      <c r="X120" s="84">
        <f>'📦 Subscriptions'!$N109</f>
        <v>0</v>
      </c>
      <c r="Y120" s="84" t="b">
        <f>IF($S120="","",AND('📦 Subscriptions'!$J109="Active",COUNTIFS('📦 Subscriptions'!$C$6:$C$205,$T120,'📦 Subscriptions'!$J$6:$J$205,"Active")&gt;1,$U120&gt;0))</f>
        <v>0</v>
      </c>
      <c r="Z120" s="84" t="b">
        <f>IF($S120="","",AND('📦 Subscriptions'!$J109="Active",OR('⚙️ Settings'!$C$7-$V120&gt;='⚙️ Settings'!$C$9,$W120&lt;'⚙️ Settings'!$C$10)))</f>
        <v>0</v>
      </c>
      <c r="AA120" s="84" t="b">
        <f>IF($S120="","",AND('📦 Subscriptions'!$J109="Active",OR($X120="Downgrade",$X120="Switch to Annual")))</f>
        <v>0</v>
      </c>
    </row>
    <row r="121" spans="19:27">
      <c r="S121" s="84">
        <f>'📦 Subscriptions'!$B110</f>
        <v>0</v>
      </c>
      <c r="T121" s="84">
        <f>'📦 Subscriptions'!$C110</f>
        <v>0</v>
      </c>
      <c r="U121" s="8" t="str">
        <f>'📦 Subscriptions'!$G110</f>
        <v/>
      </c>
      <c r="V121" s="5">
        <f>'📦 Subscriptions'!$L110</f>
        <v>0</v>
      </c>
      <c r="W121" s="6">
        <f>'📦 Subscriptions'!$M110</f>
        <v>0</v>
      </c>
      <c r="X121" s="84">
        <f>'📦 Subscriptions'!$N110</f>
        <v>0</v>
      </c>
      <c r="Y121" s="84" t="b">
        <f>IF($S121="","",AND('📦 Subscriptions'!$J110="Active",COUNTIFS('📦 Subscriptions'!$C$6:$C$205,$T121,'📦 Subscriptions'!$J$6:$J$205,"Active")&gt;1,$U121&gt;0))</f>
        <v>0</v>
      </c>
      <c r="Z121" s="84" t="b">
        <f>IF($S121="","",AND('📦 Subscriptions'!$J110="Active",OR('⚙️ Settings'!$C$7-$V121&gt;='⚙️ Settings'!$C$9,$W121&lt;'⚙️ Settings'!$C$10)))</f>
        <v>0</v>
      </c>
      <c r="AA121" s="84" t="b">
        <f>IF($S121="","",AND('📦 Subscriptions'!$J110="Active",OR($X121="Downgrade",$X121="Switch to Annual")))</f>
        <v>0</v>
      </c>
    </row>
    <row r="122" spans="19:27">
      <c r="S122" s="84">
        <f>'📦 Subscriptions'!$B111</f>
        <v>0</v>
      </c>
      <c r="T122" s="84">
        <f>'📦 Subscriptions'!$C111</f>
        <v>0</v>
      </c>
      <c r="U122" s="8" t="str">
        <f>'📦 Subscriptions'!$G111</f>
        <v/>
      </c>
      <c r="V122" s="5">
        <f>'📦 Subscriptions'!$L111</f>
        <v>0</v>
      </c>
      <c r="W122" s="6">
        <f>'📦 Subscriptions'!$M111</f>
        <v>0</v>
      </c>
      <c r="X122" s="84">
        <f>'📦 Subscriptions'!$N111</f>
        <v>0</v>
      </c>
      <c r="Y122" s="84" t="b">
        <f>IF($S122="","",AND('📦 Subscriptions'!$J111="Active",COUNTIFS('📦 Subscriptions'!$C$6:$C$205,$T122,'📦 Subscriptions'!$J$6:$J$205,"Active")&gt;1,$U122&gt;0))</f>
        <v>0</v>
      </c>
      <c r="Z122" s="84" t="b">
        <f>IF($S122="","",AND('📦 Subscriptions'!$J111="Active",OR('⚙️ Settings'!$C$7-$V122&gt;='⚙️ Settings'!$C$9,$W122&lt;'⚙️ Settings'!$C$10)))</f>
        <v>0</v>
      </c>
      <c r="AA122" s="84" t="b">
        <f>IF($S122="","",AND('📦 Subscriptions'!$J111="Active",OR($X122="Downgrade",$X122="Switch to Annual")))</f>
        <v>0</v>
      </c>
    </row>
    <row r="123" spans="19:27">
      <c r="S123" s="84">
        <f>'📦 Subscriptions'!$B112</f>
        <v>0</v>
      </c>
      <c r="T123" s="84">
        <f>'📦 Subscriptions'!$C112</f>
        <v>0</v>
      </c>
      <c r="U123" s="8" t="str">
        <f>'📦 Subscriptions'!$G112</f>
        <v/>
      </c>
      <c r="V123" s="5">
        <f>'📦 Subscriptions'!$L112</f>
        <v>0</v>
      </c>
      <c r="W123" s="6">
        <f>'📦 Subscriptions'!$M112</f>
        <v>0</v>
      </c>
      <c r="X123" s="84">
        <f>'📦 Subscriptions'!$N112</f>
        <v>0</v>
      </c>
      <c r="Y123" s="84" t="b">
        <f>IF($S123="","",AND('📦 Subscriptions'!$J112="Active",COUNTIFS('📦 Subscriptions'!$C$6:$C$205,$T123,'📦 Subscriptions'!$J$6:$J$205,"Active")&gt;1,$U123&gt;0))</f>
        <v>0</v>
      </c>
      <c r="Z123" s="84" t="b">
        <f>IF($S123="","",AND('📦 Subscriptions'!$J112="Active",OR('⚙️ Settings'!$C$7-$V123&gt;='⚙️ Settings'!$C$9,$W123&lt;'⚙️ Settings'!$C$10)))</f>
        <v>0</v>
      </c>
      <c r="AA123" s="84" t="b">
        <f>IF($S123="","",AND('📦 Subscriptions'!$J112="Active",OR($X123="Downgrade",$X123="Switch to Annual")))</f>
        <v>0</v>
      </c>
    </row>
    <row r="124" spans="19:27">
      <c r="S124" s="84">
        <f>'📦 Subscriptions'!$B113</f>
        <v>0</v>
      </c>
      <c r="T124" s="84">
        <f>'📦 Subscriptions'!$C113</f>
        <v>0</v>
      </c>
      <c r="U124" s="8" t="str">
        <f>'📦 Subscriptions'!$G113</f>
        <v/>
      </c>
      <c r="V124" s="5">
        <f>'📦 Subscriptions'!$L113</f>
        <v>0</v>
      </c>
      <c r="W124" s="6">
        <f>'📦 Subscriptions'!$M113</f>
        <v>0</v>
      </c>
      <c r="X124" s="84">
        <f>'📦 Subscriptions'!$N113</f>
        <v>0</v>
      </c>
      <c r="Y124" s="84" t="b">
        <f>IF($S124="","",AND('📦 Subscriptions'!$J113="Active",COUNTIFS('📦 Subscriptions'!$C$6:$C$205,$T124,'📦 Subscriptions'!$J$6:$J$205,"Active")&gt;1,$U124&gt;0))</f>
        <v>0</v>
      </c>
      <c r="Z124" s="84" t="b">
        <f>IF($S124="","",AND('📦 Subscriptions'!$J113="Active",OR('⚙️ Settings'!$C$7-$V124&gt;='⚙️ Settings'!$C$9,$W124&lt;'⚙️ Settings'!$C$10)))</f>
        <v>0</v>
      </c>
      <c r="AA124" s="84" t="b">
        <f>IF($S124="","",AND('📦 Subscriptions'!$J113="Active",OR($X124="Downgrade",$X124="Switch to Annual")))</f>
        <v>0</v>
      </c>
    </row>
    <row r="125" spans="19:27">
      <c r="S125" s="84">
        <f>'📦 Subscriptions'!$B114</f>
        <v>0</v>
      </c>
      <c r="T125" s="84">
        <f>'📦 Subscriptions'!$C114</f>
        <v>0</v>
      </c>
      <c r="U125" s="8" t="str">
        <f>'📦 Subscriptions'!$G114</f>
        <v/>
      </c>
      <c r="V125" s="5">
        <f>'📦 Subscriptions'!$L114</f>
        <v>0</v>
      </c>
      <c r="W125" s="6">
        <f>'📦 Subscriptions'!$M114</f>
        <v>0</v>
      </c>
      <c r="X125" s="84">
        <f>'📦 Subscriptions'!$N114</f>
        <v>0</v>
      </c>
      <c r="Y125" s="84" t="b">
        <f>IF($S125="","",AND('📦 Subscriptions'!$J114="Active",COUNTIFS('📦 Subscriptions'!$C$6:$C$205,$T125,'📦 Subscriptions'!$J$6:$J$205,"Active")&gt;1,$U125&gt;0))</f>
        <v>0</v>
      </c>
      <c r="Z125" s="84" t="b">
        <f>IF($S125="","",AND('📦 Subscriptions'!$J114="Active",OR('⚙️ Settings'!$C$7-$V125&gt;='⚙️ Settings'!$C$9,$W125&lt;'⚙️ Settings'!$C$10)))</f>
        <v>0</v>
      </c>
      <c r="AA125" s="84" t="b">
        <f>IF($S125="","",AND('📦 Subscriptions'!$J114="Active",OR($X125="Downgrade",$X125="Switch to Annual")))</f>
        <v>0</v>
      </c>
    </row>
    <row r="126" spans="19:27">
      <c r="S126" s="84">
        <f>'📦 Subscriptions'!$B115</f>
        <v>0</v>
      </c>
      <c r="T126" s="84">
        <f>'📦 Subscriptions'!$C115</f>
        <v>0</v>
      </c>
      <c r="U126" s="8" t="str">
        <f>'📦 Subscriptions'!$G115</f>
        <v/>
      </c>
      <c r="V126" s="5">
        <f>'📦 Subscriptions'!$L115</f>
        <v>0</v>
      </c>
      <c r="W126" s="6">
        <f>'📦 Subscriptions'!$M115</f>
        <v>0</v>
      </c>
      <c r="X126" s="84">
        <f>'📦 Subscriptions'!$N115</f>
        <v>0</v>
      </c>
      <c r="Y126" s="84" t="b">
        <f>IF($S126="","",AND('📦 Subscriptions'!$J115="Active",COUNTIFS('📦 Subscriptions'!$C$6:$C$205,$T126,'📦 Subscriptions'!$J$6:$J$205,"Active")&gt;1,$U126&gt;0))</f>
        <v>0</v>
      </c>
      <c r="Z126" s="84" t="b">
        <f>IF($S126="","",AND('📦 Subscriptions'!$J115="Active",OR('⚙️ Settings'!$C$7-$V126&gt;='⚙️ Settings'!$C$9,$W126&lt;'⚙️ Settings'!$C$10)))</f>
        <v>0</v>
      </c>
      <c r="AA126" s="84" t="b">
        <f>IF($S126="","",AND('📦 Subscriptions'!$J115="Active",OR($X126="Downgrade",$X126="Switch to Annual")))</f>
        <v>0</v>
      </c>
    </row>
    <row r="127" spans="19:27">
      <c r="S127" s="84">
        <f>'📦 Subscriptions'!$B116</f>
        <v>0</v>
      </c>
      <c r="T127" s="84">
        <f>'📦 Subscriptions'!$C116</f>
        <v>0</v>
      </c>
      <c r="U127" s="8" t="str">
        <f>'📦 Subscriptions'!$G116</f>
        <v/>
      </c>
      <c r="V127" s="5">
        <f>'📦 Subscriptions'!$L116</f>
        <v>0</v>
      </c>
      <c r="W127" s="6">
        <f>'📦 Subscriptions'!$M116</f>
        <v>0</v>
      </c>
      <c r="X127" s="84">
        <f>'📦 Subscriptions'!$N116</f>
        <v>0</v>
      </c>
      <c r="Y127" s="84" t="b">
        <f>IF($S127="","",AND('📦 Subscriptions'!$J116="Active",COUNTIFS('📦 Subscriptions'!$C$6:$C$205,$T127,'📦 Subscriptions'!$J$6:$J$205,"Active")&gt;1,$U127&gt;0))</f>
        <v>0</v>
      </c>
      <c r="Z127" s="84" t="b">
        <f>IF($S127="","",AND('📦 Subscriptions'!$J116="Active",OR('⚙️ Settings'!$C$7-$V127&gt;='⚙️ Settings'!$C$9,$W127&lt;'⚙️ Settings'!$C$10)))</f>
        <v>0</v>
      </c>
      <c r="AA127" s="84" t="b">
        <f>IF($S127="","",AND('📦 Subscriptions'!$J116="Active",OR($X127="Downgrade",$X127="Switch to Annual")))</f>
        <v>0</v>
      </c>
    </row>
    <row r="128" spans="19:27">
      <c r="S128" s="84">
        <f>'📦 Subscriptions'!$B117</f>
        <v>0</v>
      </c>
      <c r="T128" s="84">
        <f>'📦 Subscriptions'!$C117</f>
        <v>0</v>
      </c>
      <c r="U128" s="8" t="str">
        <f>'📦 Subscriptions'!$G117</f>
        <v/>
      </c>
      <c r="V128" s="5">
        <f>'📦 Subscriptions'!$L117</f>
        <v>0</v>
      </c>
      <c r="W128" s="6">
        <f>'📦 Subscriptions'!$M117</f>
        <v>0</v>
      </c>
      <c r="X128" s="84">
        <f>'📦 Subscriptions'!$N117</f>
        <v>0</v>
      </c>
      <c r="Y128" s="84" t="b">
        <f>IF($S128="","",AND('📦 Subscriptions'!$J117="Active",COUNTIFS('📦 Subscriptions'!$C$6:$C$205,$T128,'📦 Subscriptions'!$J$6:$J$205,"Active")&gt;1,$U128&gt;0))</f>
        <v>0</v>
      </c>
      <c r="Z128" s="84" t="b">
        <f>IF($S128="","",AND('📦 Subscriptions'!$J117="Active",OR('⚙️ Settings'!$C$7-$V128&gt;='⚙️ Settings'!$C$9,$W128&lt;'⚙️ Settings'!$C$10)))</f>
        <v>0</v>
      </c>
      <c r="AA128" s="84" t="b">
        <f>IF($S128="","",AND('📦 Subscriptions'!$J117="Active",OR($X128="Downgrade",$X128="Switch to Annual")))</f>
        <v>0</v>
      </c>
    </row>
    <row r="129" spans="19:27">
      <c r="S129" s="84">
        <f>'📦 Subscriptions'!$B118</f>
        <v>0</v>
      </c>
      <c r="T129" s="84">
        <f>'📦 Subscriptions'!$C118</f>
        <v>0</v>
      </c>
      <c r="U129" s="8" t="str">
        <f>'📦 Subscriptions'!$G118</f>
        <v/>
      </c>
      <c r="V129" s="5">
        <f>'📦 Subscriptions'!$L118</f>
        <v>0</v>
      </c>
      <c r="W129" s="6">
        <f>'📦 Subscriptions'!$M118</f>
        <v>0</v>
      </c>
      <c r="X129" s="84">
        <f>'📦 Subscriptions'!$N118</f>
        <v>0</v>
      </c>
      <c r="Y129" s="84" t="b">
        <f>IF($S129="","",AND('📦 Subscriptions'!$J118="Active",COUNTIFS('📦 Subscriptions'!$C$6:$C$205,$T129,'📦 Subscriptions'!$J$6:$J$205,"Active")&gt;1,$U129&gt;0))</f>
        <v>0</v>
      </c>
      <c r="Z129" s="84" t="b">
        <f>IF($S129="","",AND('📦 Subscriptions'!$J118="Active",OR('⚙️ Settings'!$C$7-$V129&gt;='⚙️ Settings'!$C$9,$W129&lt;'⚙️ Settings'!$C$10)))</f>
        <v>0</v>
      </c>
      <c r="AA129" s="84" t="b">
        <f>IF($S129="","",AND('📦 Subscriptions'!$J118="Active",OR($X129="Downgrade",$X129="Switch to Annual")))</f>
        <v>0</v>
      </c>
    </row>
    <row r="130" spans="19:27">
      <c r="S130" s="84">
        <f>'📦 Subscriptions'!$B119</f>
        <v>0</v>
      </c>
      <c r="T130" s="84">
        <f>'📦 Subscriptions'!$C119</f>
        <v>0</v>
      </c>
      <c r="U130" s="8" t="str">
        <f>'📦 Subscriptions'!$G119</f>
        <v/>
      </c>
      <c r="V130" s="5">
        <f>'📦 Subscriptions'!$L119</f>
        <v>0</v>
      </c>
      <c r="W130" s="6">
        <f>'📦 Subscriptions'!$M119</f>
        <v>0</v>
      </c>
      <c r="X130" s="84">
        <f>'📦 Subscriptions'!$N119</f>
        <v>0</v>
      </c>
      <c r="Y130" s="84" t="b">
        <f>IF($S130="","",AND('📦 Subscriptions'!$J119="Active",COUNTIFS('📦 Subscriptions'!$C$6:$C$205,$T130,'📦 Subscriptions'!$J$6:$J$205,"Active")&gt;1,$U130&gt;0))</f>
        <v>0</v>
      </c>
      <c r="Z130" s="84" t="b">
        <f>IF($S130="","",AND('📦 Subscriptions'!$J119="Active",OR('⚙️ Settings'!$C$7-$V130&gt;='⚙️ Settings'!$C$9,$W130&lt;'⚙️ Settings'!$C$10)))</f>
        <v>0</v>
      </c>
      <c r="AA130" s="84" t="b">
        <f>IF($S130="","",AND('📦 Subscriptions'!$J119="Active",OR($X130="Downgrade",$X130="Switch to Annual")))</f>
        <v>0</v>
      </c>
    </row>
    <row r="131" spans="19:27">
      <c r="S131" s="84">
        <f>'📦 Subscriptions'!$B120</f>
        <v>0</v>
      </c>
      <c r="T131" s="84">
        <f>'📦 Subscriptions'!$C120</f>
        <v>0</v>
      </c>
      <c r="U131" s="8" t="str">
        <f>'📦 Subscriptions'!$G120</f>
        <v/>
      </c>
      <c r="V131" s="5">
        <f>'📦 Subscriptions'!$L120</f>
        <v>0</v>
      </c>
      <c r="W131" s="6">
        <f>'📦 Subscriptions'!$M120</f>
        <v>0</v>
      </c>
      <c r="X131" s="84">
        <f>'📦 Subscriptions'!$N120</f>
        <v>0</v>
      </c>
      <c r="Y131" s="84" t="b">
        <f>IF($S131="","",AND('📦 Subscriptions'!$J120="Active",COUNTIFS('📦 Subscriptions'!$C$6:$C$205,$T131,'📦 Subscriptions'!$J$6:$J$205,"Active")&gt;1,$U131&gt;0))</f>
        <v>0</v>
      </c>
      <c r="Z131" s="84" t="b">
        <f>IF($S131="","",AND('📦 Subscriptions'!$J120="Active",OR('⚙️ Settings'!$C$7-$V131&gt;='⚙️ Settings'!$C$9,$W131&lt;'⚙️ Settings'!$C$10)))</f>
        <v>0</v>
      </c>
      <c r="AA131" s="84" t="b">
        <f>IF($S131="","",AND('📦 Subscriptions'!$J120="Active",OR($X131="Downgrade",$X131="Switch to Annual")))</f>
        <v>0</v>
      </c>
    </row>
    <row r="132" spans="19:27">
      <c r="S132" s="84">
        <f>'📦 Subscriptions'!$B121</f>
        <v>0</v>
      </c>
      <c r="T132" s="84">
        <f>'📦 Subscriptions'!$C121</f>
        <v>0</v>
      </c>
      <c r="U132" s="8" t="str">
        <f>'📦 Subscriptions'!$G121</f>
        <v/>
      </c>
      <c r="V132" s="5">
        <f>'📦 Subscriptions'!$L121</f>
        <v>0</v>
      </c>
      <c r="W132" s="6">
        <f>'📦 Subscriptions'!$M121</f>
        <v>0</v>
      </c>
      <c r="X132" s="84">
        <f>'📦 Subscriptions'!$N121</f>
        <v>0</v>
      </c>
      <c r="Y132" s="84" t="b">
        <f>IF($S132="","",AND('📦 Subscriptions'!$J121="Active",COUNTIFS('📦 Subscriptions'!$C$6:$C$205,$T132,'📦 Subscriptions'!$J$6:$J$205,"Active")&gt;1,$U132&gt;0))</f>
        <v>0</v>
      </c>
      <c r="Z132" s="84" t="b">
        <f>IF($S132="","",AND('📦 Subscriptions'!$J121="Active",OR('⚙️ Settings'!$C$7-$V132&gt;='⚙️ Settings'!$C$9,$W132&lt;'⚙️ Settings'!$C$10)))</f>
        <v>0</v>
      </c>
      <c r="AA132" s="84" t="b">
        <f>IF($S132="","",AND('📦 Subscriptions'!$J121="Active",OR($X132="Downgrade",$X132="Switch to Annual")))</f>
        <v>0</v>
      </c>
    </row>
    <row r="133" spans="19:27">
      <c r="S133" s="84">
        <f>'📦 Subscriptions'!$B122</f>
        <v>0</v>
      </c>
      <c r="T133" s="84">
        <f>'📦 Subscriptions'!$C122</f>
        <v>0</v>
      </c>
      <c r="U133" s="8" t="str">
        <f>'📦 Subscriptions'!$G122</f>
        <v/>
      </c>
      <c r="V133" s="5">
        <f>'📦 Subscriptions'!$L122</f>
        <v>0</v>
      </c>
      <c r="W133" s="6">
        <f>'📦 Subscriptions'!$M122</f>
        <v>0</v>
      </c>
      <c r="X133" s="84">
        <f>'📦 Subscriptions'!$N122</f>
        <v>0</v>
      </c>
      <c r="Y133" s="84" t="b">
        <f>IF($S133="","",AND('📦 Subscriptions'!$J122="Active",COUNTIFS('📦 Subscriptions'!$C$6:$C$205,$T133,'📦 Subscriptions'!$J$6:$J$205,"Active")&gt;1,$U133&gt;0))</f>
        <v>0</v>
      </c>
      <c r="Z133" s="84" t="b">
        <f>IF($S133="","",AND('📦 Subscriptions'!$J122="Active",OR('⚙️ Settings'!$C$7-$V133&gt;='⚙️ Settings'!$C$9,$W133&lt;'⚙️ Settings'!$C$10)))</f>
        <v>0</v>
      </c>
      <c r="AA133" s="84" t="b">
        <f>IF($S133="","",AND('📦 Subscriptions'!$J122="Active",OR($X133="Downgrade",$X133="Switch to Annual")))</f>
        <v>0</v>
      </c>
    </row>
    <row r="134" spans="19:27">
      <c r="S134" s="84">
        <f>'📦 Subscriptions'!$B123</f>
        <v>0</v>
      </c>
      <c r="T134" s="84">
        <f>'📦 Subscriptions'!$C123</f>
        <v>0</v>
      </c>
      <c r="U134" s="8" t="str">
        <f>'📦 Subscriptions'!$G123</f>
        <v/>
      </c>
      <c r="V134" s="5">
        <f>'📦 Subscriptions'!$L123</f>
        <v>0</v>
      </c>
      <c r="W134" s="6">
        <f>'📦 Subscriptions'!$M123</f>
        <v>0</v>
      </c>
      <c r="X134" s="84">
        <f>'📦 Subscriptions'!$N123</f>
        <v>0</v>
      </c>
      <c r="Y134" s="84" t="b">
        <f>IF($S134="","",AND('📦 Subscriptions'!$J123="Active",COUNTIFS('📦 Subscriptions'!$C$6:$C$205,$T134,'📦 Subscriptions'!$J$6:$J$205,"Active")&gt;1,$U134&gt;0))</f>
        <v>0</v>
      </c>
      <c r="Z134" s="84" t="b">
        <f>IF($S134="","",AND('📦 Subscriptions'!$J123="Active",OR('⚙️ Settings'!$C$7-$V134&gt;='⚙️ Settings'!$C$9,$W134&lt;'⚙️ Settings'!$C$10)))</f>
        <v>0</v>
      </c>
      <c r="AA134" s="84" t="b">
        <f>IF($S134="","",AND('📦 Subscriptions'!$J123="Active",OR($X134="Downgrade",$X134="Switch to Annual")))</f>
        <v>0</v>
      </c>
    </row>
    <row r="135" spans="19:27">
      <c r="S135" s="84">
        <f>'📦 Subscriptions'!$B124</f>
        <v>0</v>
      </c>
      <c r="T135" s="84">
        <f>'📦 Subscriptions'!$C124</f>
        <v>0</v>
      </c>
      <c r="U135" s="8" t="str">
        <f>'📦 Subscriptions'!$G124</f>
        <v/>
      </c>
      <c r="V135" s="5">
        <f>'📦 Subscriptions'!$L124</f>
        <v>0</v>
      </c>
      <c r="W135" s="6">
        <f>'📦 Subscriptions'!$M124</f>
        <v>0</v>
      </c>
      <c r="X135" s="84">
        <f>'📦 Subscriptions'!$N124</f>
        <v>0</v>
      </c>
      <c r="Y135" s="84" t="b">
        <f>IF($S135="","",AND('📦 Subscriptions'!$J124="Active",COUNTIFS('📦 Subscriptions'!$C$6:$C$205,$T135,'📦 Subscriptions'!$J$6:$J$205,"Active")&gt;1,$U135&gt;0))</f>
        <v>0</v>
      </c>
      <c r="Z135" s="84" t="b">
        <f>IF($S135="","",AND('📦 Subscriptions'!$J124="Active",OR('⚙️ Settings'!$C$7-$V135&gt;='⚙️ Settings'!$C$9,$W135&lt;'⚙️ Settings'!$C$10)))</f>
        <v>0</v>
      </c>
      <c r="AA135" s="84" t="b">
        <f>IF($S135="","",AND('📦 Subscriptions'!$J124="Active",OR($X135="Downgrade",$X135="Switch to Annual")))</f>
        <v>0</v>
      </c>
    </row>
    <row r="136" spans="19:27">
      <c r="S136" s="84">
        <f>'📦 Subscriptions'!$B125</f>
        <v>0</v>
      </c>
      <c r="T136" s="84">
        <f>'📦 Subscriptions'!$C125</f>
        <v>0</v>
      </c>
      <c r="U136" s="8" t="str">
        <f>'📦 Subscriptions'!$G125</f>
        <v/>
      </c>
      <c r="V136" s="5">
        <f>'📦 Subscriptions'!$L125</f>
        <v>0</v>
      </c>
      <c r="W136" s="6">
        <f>'📦 Subscriptions'!$M125</f>
        <v>0</v>
      </c>
      <c r="X136" s="84">
        <f>'📦 Subscriptions'!$N125</f>
        <v>0</v>
      </c>
      <c r="Y136" s="84" t="b">
        <f>IF($S136="","",AND('📦 Subscriptions'!$J125="Active",COUNTIFS('📦 Subscriptions'!$C$6:$C$205,$T136,'📦 Subscriptions'!$J$6:$J$205,"Active")&gt;1,$U136&gt;0))</f>
        <v>0</v>
      </c>
      <c r="Z136" s="84" t="b">
        <f>IF($S136="","",AND('📦 Subscriptions'!$J125="Active",OR('⚙️ Settings'!$C$7-$V136&gt;='⚙️ Settings'!$C$9,$W136&lt;'⚙️ Settings'!$C$10)))</f>
        <v>0</v>
      </c>
      <c r="AA136" s="84" t="b">
        <f>IF($S136="","",AND('📦 Subscriptions'!$J125="Active",OR($X136="Downgrade",$X136="Switch to Annual")))</f>
        <v>0</v>
      </c>
    </row>
    <row r="137" spans="19:27">
      <c r="S137" s="84">
        <f>'📦 Subscriptions'!$B126</f>
        <v>0</v>
      </c>
      <c r="T137" s="84">
        <f>'📦 Subscriptions'!$C126</f>
        <v>0</v>
      </c>
      <c r="U137" s="8" t="str">
        <f>'📦 Subscriptions'!$G126</f>
        <v/>
      </c>
      <c r="V137" s="5">
        <f>'📦 Subscriptions'!$L126</f>
        <v>0</v>
      </c>
      <c r="W137" s="6">
        <f>'📦 Subscriptions'!$M126</f>
        <v>0</v>
      </c>
      <c r="X137" s="84">
        <f>'📦 Subscriptions'!$N126</f>
        <v>0</v>
      </c>
      <c r="Y137" s="84" t="b">
        <f>IF($S137="","",AND('📦 Subscriptions'!$J126="Active",COUNTIFS('📦 Subscriptions'!$C$6:$C$205,$T137,'📦 Subscriptions'!$J$6:$J$205,"Active")&gt;1,$U137&gt;0))</f>
        <v>0</v>
      </c>
      <c r="Z137" s="84" t="b">
        <f>IF($S137="","",AND('📦 Subscriptions'!$J126="Active",OR('⚙️ Settings'!$C$7-$V137&gt;='⚙️ Settings'!$C$9,$W137&lt;'⚙️ Settings'!$C$10)))</f>
        <v>0</v>
      </c>
      <c r="AA137" s="84" t="b">
        <f>IF($S137="","",AND('📦 Subscriptions'!$J126="Active",OR($X137="Downgrade",$X137="Switch to Annual")))</f>
        <v>0</v>
      </c>
    </row>
    <row r="138" spans="19:27">
      <c r="S138" s="84">
        <f>'📦 Subscriptions'!$B127</f>
        <v>0</v>
      </c>
      <c r="T138" s="84">
        <f>'📦 Subscriptions'!$C127</f>
        <v>0</v>
      </c>
      <c r="U138" s="8" t="str">
        <f>'📦 Subscriptions'!$G127</f>
        <v/>
      </c>
      <c r="V138" s="5">
        <f>'📦 Subscriptions'!$L127</f>
        <v>0</v>
      </c>
      <c r="W138" s="6">
        <f>'📦 Subscriptions'!$M127</f>
        <v>0</v>
      </c>
      <c r="X138" s="84">
        <f>'📦 Subscriptions'!$N127</f>
        <v>0</v>
      </c>
      <c r="Y138" s="84" t="b">
        <f>IF($S138="","",AND('📦 Subscriptions'!$J127="Active",COUNTIFS('📦 Subscriptions'!$C$6:$C$205,$T138,'📦 Subscriptions'!$J$6:$J$205,"Active")&gt;1,$U138&gt;0))</f>
        <v>0</v>
      </c>
      <c r="Z138" s="84" t="b">
        <f>IF($S138="","",AND('📦 Subscriptions'!$J127="Active",OR('⚙️ Settings'!$C$7-$V138&gt;='⚙️ Settings'!$C$9,$W138&lt;'⚙️ Settings'!$C$10)))</f>
        <v>0</v>
      </c>
      <c r="AA138" s="84" t="b">
        <f>IF($S138="","",AND('📦 Subscriptions'!$J127="Active",OR($X138="Downgrade",$X138="Switch to Annual")))</f>
        <v>0</v>
      </c>
    </row>
    <row r="139" spans="19:27">
      <c r="S139" s="84">
        <f>'📦 Subscriptions'!$B128</f>
        <v>0</v>
      </c>
      <c r="T139" s="84">
        <f>'📦 Subscriptions'!$C128</f>
        <v>0</v>
      </c>
      <c r="U139" s="8" t="str">
        <f>'📦 Subscriptions'!$G128</f>
        <v/>
      </c>
      <c r="V139" s="5">
        <f>'📦 Subscriptions'!$L128</f>
        <v>0</v>
      </c>
      <c r="W139" s="6">
        <f>'📦 Subscriptions'!$M128</f>
        <v>0</v>
      </c>
      <c r="X139" s="84">
        <f>'📦 Subscriptions'!$N128</f>
        <v>0</v>
      </c>
      <c r="Y139" s="84" t="b">
        <f>IF($S139="","",AND('📦 Subscriptions'!$J128="Active",COUNTIFS('📦 Subscriptions'!$C$6:$C$205,$T139,'📦 Subscriptions'!$J$6:$J$205,"Active")&gt;1,$U139&gt;0))</f>
        <v>0</v>
      </c>
      <c r="Z139" s="84" t="b">
        <f>IF($S139="","",AND('📦 Subscriptions'!$J128="Active",OR('⚙️ Settings'!$C$7-$V139&gt;='⚙️ Settings'!$C$9,$W139&lt;'⚙️ Settings'!$C$10)))</f>
        <v>0</v>
      </c>
      <c r="AA139" s="84" t="b">
        <f>IF($S139="","",AND('📦 Subscriptions'!$J128="Active",OR($X139="Downgrade",$X139="Switch to Annual")))</f>
        <v>0</v>
      </c>
    </row>
    <row r="140" spans="19:27">
      <c r="S140" s="84">
        <f>'📦 Subscriptions'!$B129</f>
        <v>0</v>
      </c>
      <c r="T140" s="84">
        <f>'📦 Subscriptions'!$C129</f>
        <v>0</v>
      </c>
      <c r="U140" s="8" t="str">
        <f>'📦 Subscriptions'!$G129</f>
        <v/>
      </c>
      <c r="V140" s="5">
        <f>'📦 Subscriptions'!$L129</f>
        <v>0</v>
      </c>
      <c r="W140" s="6">
        <f>'📦 Subscriptions'!$M129</f>
        <v>0</v>
      </c>
      <c r="X140" s="84">
        <f>'📦 Subscriptions'!$N129</f>
        <v>0</v>
      </c>
      <c r="Y140" s="84" t="b">
        <f>IF($S140="","",AND('📦 Subscriptions'!$J129="Active",COUNTIFS('📦 Subscriptions'!$C$6:$C$205,$T140,'📦 Subscriptions'!$J$6:$J$205,"Active")&gt;1,$U140&gt;0))</f>
        <v>0</v>
      </c>
      <c r="Z140" s="84" t="b">
        <f>IF($S140="","",AND('📦 Subscriptions'!$J129="Active",OR('⚙️ Settings'!$C$7-$V140&gt;='⚙️ Settings'!$C$9,$W140&lt;'⚙️ Settings'!$C$10)))</f>
        <v>0</v>
      </c>
      <c r="AA140" s="84" t="b">
        <f>IF($S140="","",AND('📦 Subscriptions'!$J129="Active",OR($X140="Downgrade",$X140="Switch to Annual")))</f>
        <v>0</v>
      </c>
    </row>
    <row r="141" spans="19:27">
      <c r="S141" s="84">
        <f>'📦 Subscriptions'!$B130</f>
        <v>0</v>
      </c>
      <c r="T141" s="84">
        <f>'📦 Subscriptions'!$C130</f>
        <v>0</v>
      </c>
      <c r="U141" s="8" t="str">
        <f>'📦 Subscriptions'!$G130</f>
        <v/>
      </c>
      <c r="V141" s="5">
        <f>'📦 Subscriptions'!$L130</f>
        <v>0</v>
      </c>
      <c r="W141" s="6">
        <f>'📦 Subscriptions'!$M130</f>
        <v>0</v>
      </c>
      <c r="X141" s="84">
        <f>'📦 Subscriptions'!$N130</f>
        <v>0</v>
      </c>
      <c r="Y141" s="84" t="b">
        <f>IF($S141="","",AND('📦 Subscriptions'!$J130="Active",COUNTIFS('📦 Subscriptions'!$C$6:$C$205,$T141,'📦 Subscriptions'!$J$6:$J$205,"Active")&gt;1,$U141&gt;0))</f>
        <v>0</v>
      </c>
      <c r="Z141" s="84" t="b">
        <f>IF($S141="","",AND('📦 Subscriptions'!$J130="Active",OR('⚙️ Settings'!$C$7-$V141&gt;='⚙️ Settings'!$C$9,$W141&lt;'⚙️ Settings'!$C$10)))</f>
        <v>0</v>
      </c>
      <c r="AA141" s="84" t="b">
        <f>IF($S141="","",AND('📦 Subscriptions'!$J130="Active",OR($X141="Downgrade",$X141="Switch to Annual")))</f>
        <v>0</v>
      </c>
    </row>
    <row r="142" spans="19:27">
      <c r="S142" s="84">
        <f>'📦 Subscriptions'!$B131</f>
        <v>0</v>
      </c>
      <c r="T142" s="84">
        <f>'📦 Subscriptions'!$C131</f>
        <v>0</v>
      </c>
      <c r="U142" s="8" t="str">
        <f>'📦 Subscriptions'!$G131</f>
        <v/>
      </c>
      <c r="V142" s="5">
        <f>'📦 Subscriptions'!$L131</f>
        <v>0</v>
      </c>
      <c r="W142" s="6">
        <f>'📦 Subscriptions'!$M131</f>
        <v>0</v>
      </c>
      <c r="X142" s="84">
        <f>'📦 Subscriptions'!$N131</f>
        <v>0</v>
      </c>
      <c r="Y142" s="84" t="b">
        <f>IF($S142="","",AND('📦 Subscriptions'!$J131="Active",COUNTIFS('📦 Subscriptions'!$C$6:$C$205,$T142,'📦 Subscriptions'!$J$6:$J$205,"Active")&gt;1,$U142&gt;0))</f>
        <v>0</v>
      </c>
      <c r="Z142" s="84" t="b">
        <f>IF($S142="","",AND('📦 Subscriptions'!$J131="Active",OR('⚙️ Settings'!$C$7-$V142&gt;='⚙️ Settings'!$C$9,$W142&lt;'⚙️ Settings'!$C$10)))</f>
        <v>0</v>
      </c>
      <c r="AA142" s="84" t="b">
        <f>IF($S142="","",AND('📦 Subscriptions'!$J131="Active",OR($X142="Downgrade",$X142="Switch to Annual")))</f>
        <v>0</v>
      </c>
    </row>
    <row r="143" spans="19:27">
      <c r="S143" s="84">
        <f>'📦 Subscriptions'!$B132</f>
        <v>0</v>
      </c>
      <c r="T143" s="84">
        <f>'📦 Subscriptions'!$C132</f>
        <v>0</v>
      </c>
      <c r="U143" s="8" t="str">
        <f>'📦 Subscriptions'!$G132</f>
        <v/>
      </c>
      <c r="V143" s="5">
        <f>'📦 Subscriptions'!$L132</f>
        <v>0</v>
      </c>
      <c r="W143" s="6">
        <f>'📦 Subscriptions'!$M132</f>
        <v>0</v>
      </c>
      <c r="X143" s="84">
        <f>'📦 Subscriptions'!$N132</f>
        <v>0</v>
      </c>
      <c r="Y143" s="84" t="b">
        <f>IF($S143="","",AND('📦 Subscriptions'!$J132="Active",COUNTIFS('📦 Subscriptions'!$C$6:$C$205,$T143,'📦 Subscriptions'!$J$6:$J$205,"Active")&gt;1,$U143&gt;0))</f>
        <v>0</v>
      </c>
      <c r="Z143" s="84" t="b">
        <f>IF($S143="","",AND('📦 Subscriptions'!$J132="Active",OR('⚙️ Settings'!$C$7-$V143&gt;='⚙️ Settings'!$C$9,$W143&lt;'⚙️ Settings'!$C$10)))</f>
        <v>0</v>
      </c>
      <c r="AA143" s="84" t="b">
        <f>IF($S143="","",AND('📦 Subscriptions'!$J132="Active",OR($X143="Downgrade",$X143="Switch to Annual")))</f>
        <v>0</v>
      </c>
    </row>
    <row r="144" spans="19:27">
      <c r="S144" s="84">
        <f>'📦 Subscriptions'!$B133</f>
        <v>0</v>
      </c>
      <c r="T144" s="84">
        <f>'📦 Subscriptions'!$C133</f>
        <v>0</v>
      </c>
      <c r="U144" s="8" t="str">
        <f>'📦 Subscriptions'!$G133</f>
        <v/>
      </c>
      <c r="V144" s="5">
        <f>'📦 Subscriptions'!$L133</f>
        <v>0</v>
      </c>
      <c r="W144" s="6">
        <f>'📦 Subscriptions'!$M133</f>
        <v>0</v>
      </c>
      <c r="X144" s="84">
        <f>'📦 Subscriptions'!$N133</f>
        <v>0</v>
      </c>
      <c r="Y144" s="84" t="b">
        <f>IF($S144="","",AND('📦 Subscriptions'!$J133="Active",COUNTIFS('📦 Subscriptions'!$C$6:$C$205,$T144,'📦 Subscriptions'!$J$6:$J$205,"Active")&gt;1,$U144&gt;0))</f>
        <v>0</v>
      </c>
      <c r="Z144" s="84" t="b">
        <f>IF($S144="","",AND('📦 Subscriptions'!$J133="Active",OR('⚙️ Settings'!$C$7-$V144&gt;='⚙️ Settings'!$C$9,$W144&lt;'⚙️ Settings'!$C$10)))</f>
        <v>0</v>
      </c>
      <c r="AA144" s="84" t="b">
        <f>IF($S144="","",AND('📦 Subscriptions'!$J133="Active",OR($X144="Downgrade",$X144="Switch to Annual")))</f>
        <v>0</v>
      </c>
    </row>
    <row r="145" spans="19:27">
      <c r="S145" s="84">
        <f>'📦 Subscriptions'!$B134</f>
        <v>0</v>
      </c>
      <c r="T145" s="84">
        <f>'📦 Subscriptions'!$C134</f>
        <v>0</v>
      </c>
      <c r="U145" s="8" t="str">
        <f>'📦 Subscriptions'!$G134</f>
        <v/>
      </c>
      <c r="V145" s="5">
        <f>'📦 Subscriptions'!$L134</f>
        <v>0</v>
      </c>
      <c r="W145" s="6">
        <f>'📦 Subscriptions'!$M134</f>
        <v>0</v>
      </c>
      <c r="X145" s="84">
        <f>'📦 Subscriptions'!$N134</f>
        <v>0</v>
      </c>
      <c r="Y145" s="84" t="b">
        <f>IF($S145="","",AND('📦 Subscriptions'!$J134="Active",COUNTIFS('📦 Subscriptions'!$C$6:$C$205,$T145,'📦 Subscriptions'!$J$6:$J$205,"Active")&gt;1,$U145&gt;0))</f>
        <v>0</v>
      </c>
      <c r="Z145" s="84" t="b">
        <f>IF($S145="","",AND('📦 Subscriptions'!$J134="Active",OR('⚙️ Settings'!$C$7-$V145&gt;='⚙️ Settings'!$C$9,$W145&lt;'⚙️ Settings'!$C$10)))</f>
        <v>0</v>
      </c>
      <c r="AA145" s="84" t="b">
        <f>IF($S145="","",AND('📦 Subscriptions'!$J134="Active",OR($X145="Downgrade",$X145="Switch to Annual")))</f>
        <v>0</v>
      </c>
    </row>
    <row r="146" spans="19:27">
      <c r="S146" s="84">
        <f>'📦 Subscriptions'!$B135</f>
        <v>0</v>
      </c>
      <c r="T146" s="84">
        <f>'📦 Subscriptions'!$C135</f>
        <v>0</v>
      </c>
      <c r="U146" s="8" t="str">
        <f>'📦 Subscriptions'!$G135</f>
        <v/>
      </c>
      <c r="V146" s="5">
        <f>'📦 Subscriptions'!$L135</f>
        <v>0</v>
      </c>
      <c r="W146" s="6">
        <f>'📦 Subscriptions'!$M135</f>
        <v>0</v>
      </c>
      <c r="X146" s="84">
        <f>'📦 Subscriptions'!$N135</f>
        <v>0</v>
      </c>
      <c r="Y146" s="84" t="b">
        <f>IF($S146="","",AND('📦 Subscriptions'!$J135="Active",COUNTIFS('📦 Subscriptions'!$C$6:$C$205,$T146,'📦 Subscriptions'!$J$6:$J$205,"Active")&gt;1,$U146&gt;0))</f>
        <v>0</v>
      </c>
      <c r="Z146" s="84" t="b">
        <f>IF($S146="","",AND('📦 Subscriptions'!$J135="Active",OR('⚙️ Settings'!$C$7-$V146&gt;='⚙️ Settings'!$C$9,$W146&lt;'⚙️ Settings'!$C$10)))</f>
        <v>0</v>
      </c>
      <c r="AA146" s="84" t="b">
        <f>IF($S146="","",AND('📦 Subscriptions'!$J135="Active",OR($X146="Downgrade",$X146="Switch to Annual")))</f>
        <v>0</v>
      </c>
    </row>
    <row r="147" spans="19:27">
      <c r="S147" s="84">
        <f>'📦 Subscriptions'!$B136</f>
        <v>0</v>
      </c>
      <c r="T147" s="84">
        <f>'📦 Subscriptions'!$C136</f>
        <v>0</v>
      </c>
      <c r="U147" s="8" t="str">
        <f>'📦 Subscriptions'!$G136</f>
        <v/>
      </c>
      <c r="V147" s="5">
        <f>'📦 Subscriptions'!$L136</f>
        <v>0</v>
      </c>
      <c r="W147" s="6">
        <f>'📦 Subscriptions'!$M136</f>
        <v>0</v>
      </c>
      <c r="X147" s="84">
        <f>'📦 Subscriptions'!$N136</f>
        <v>0</v>
      </c>
      <c r="Y147" s="84" t="b">
        <f>IF($S147="","",AND('📦 Subscriptions'!$J136="Active",COUNTIFS('📦 Subscriptions'!$C$6:$C$205,$T147,'📦 Subscriptions'!$J$6:$J$205,"Active")&gt;1,$U147&gt;0))</f>
        <v>0</v>
      </c>
      <c r="Z147" s="84" t="b">
        <f>IF($S147="","",AND('📦 Subscriptions'!$J136="Active",OR('⚙️ Settings'!$C$7-$V147&gt;='⚙️ Settings'!$C$9,$W147&lt;'⚙️ Settings'!$C$10)))</f>
        <v>0</v>
      </c>
      <c r="AA147" s="84" t="b">
        <f>IF($S147="","",AND('📦 Subscriptions'!$J136="Active",OR($X147="Downgrade",$X147="Switch to Annual")))</f>
        <v>0</v>
      </c>
    </row>
    <row r="148" spans="19:27">
      <c r="S148" s="84">
        <f>'📦 Subscriptions'!$B137</f>
        <v>0</v>
      </c>
      <c r="T148" s="84">
        <f>'📦 Subscriptions'!$C137</f>
        <v>0</v>
      </c>
      <c r="U148" s="8" t="str">
        <f>'📦 Subscriptions'!$G137</f>
        <v/>
      </c>
      <c r="V148" s="5">
        <f>'📦 Subscriptions'!$L137</f>
        <v>0</v>
      </c>
      <c r="W148" s="6">
        <f>'📦 Subscriptions'!$M137</f>
        <v>0</v>
      </c>
      <c r="X148" s="84">
        <f>'📦 Subscriptions'!$N137</f>
        <v>0</v>
      </c>
      <c r="Y148" s="84" t="b">
        <f>IF($S148="","",AND('📦 Subscriptions'!$J137="Active",COUNTIFS('📦 Subscriptions'!$C$6:$C$205,$T148,'📦 Subscriptions'!$J$6:$J$205,"Active")&gt;1,$U148&gt;0))</f>
        <v>0</v>
      </c>
      <c r="Z148" s="84" t="b">
        <f>IF($S148="","",AND('📦 Subscriptions'!$J137="Active",OR('⚙️ Settings'!$C$7-$V148&gt;='⚙️ Settings'!$C$9,$W148&lt;'⚙️ Settings'!$C$10)))</f>
        <v>0</v>
      </c>
      <c r="AA148" s="84" t="b">
        <f>IF($S148="","",AND('📦 Subscriptions'!$J137="Active",OR($X148="Downgrade",$X148="Switch to Annual")))</f>
        <v>0</v>
      </c>
    </row>
    <row r="149" spans="19:27">
      <c r="S149" s="84">
        <f>'📦 Subscriptions'!$B138</f>
        <v>0</v>
      </c>
      <c r="T149" s="84">
        <f>'📦 Subscriptions'!$C138</f>
        <v>0</v>
      </c>
      <c r="U149" s="8" t="str">
        <f>'📦 Subscriptions'!$G138</f>
        <v/>
      </c>
      <c r="V149" s="5">
        <f>'📦 Subscriptions'!$L138</f>
        <v>0</v>
      </c>
      <c r="W149" s="6">
        <f>'📦 Subscriptions'!$M138</f>
        <v>0</v>
      </c>
      <c r="X149" s="84">
        <f>'📦 Subscriptions'!$N138</f>
        <v>0</v>
      </c>
      <c r="Y149" s="84" t="b">
        <f>IF($S149="","",AND('📦 Subscriptions'!$J138="Active",COUNTIFS('📦 Subscriptions'!$C$6:$C$205,$T149,'📦 Subscriptions'!$J$6:$J$205,"Active")&gt;1,$U149&gt;0))</f>
        <v>0</v>
      </c>
      <c r="Z149" s="84" t="b">
        <f>IF($S149="","",AND('📦 Subscriptions'!$J138="Active",OR('⚙️ Settings'!$C$7-$V149&gt;='⚙️ Settings'!$C$9,$W149&lt;'⚙️ Settings'!$C$10)))</f>
        <v>0</v>
      </c>
      <c r="AA149" s="84" t="b">
        <f>IF($S149="","",AND('📦 Subscriptions'!$J138="Active",OR($X149="Downgrade",$X149="Switch to Annual")))</f>
        <v>0</v>
      </c>
    </row>
    <row r="150" spans="19:27">
      <c r="S150" s="84">
        <f>'📦 Subscriptions'!$B139</f>
        <v>0</v>
      </c>
      <c r="T150" s="84">
        <f>'📦 Subscriptions'!$C139</f>
        <v>0</v>
      </c>
      <c r="U150" s="8" t="str">
        <f>'📦 Subscriptions'!$G139</f>
        <v/>
      </c>
      <c r="V150" s="5">
        <f>'📦 Subscriptions'!$L139</f>
        <v>0</v>
      </c>
      <c r="W150" s="6">
        <f>'📦 Subscriptions'!$M139</f>
        <v>0</v>
      </c>
      <c r="X150" s="84">
        <f>'📦 Subscriptions'!$N139</f>
        <v>0</v>
      </c>
      <c r="Y150" s="84" t="b">
        <f>IF($S150="","",AND('📦 Subscriptions'!$J139="Active",COUNTIFS('📦 Subscriptions'!$C$6:$C$205,$T150,'📦 Subscriptions'!$J$6:$J$205,"Active")&gt;1,$U150&gt;0))</f>
        <v>0</v>
      </c>
      <c r="Z150" s="84" t="b">
        <f>IF($S150="","",AND('📦 Subscriptions'!$J139="Active",OR('⚙️ Settings'!$C$7-$V150&gt;='⚙️ Settings'!$C$9,$W150&lt;'⚙️ Settings'!$C$10)))</f>
        <v>0</v>
      </c>
      <c r="AA150" s="84" t="b">
        <f>IF($S150="","",AND('📦 Subscriptions'!$J139="Active",OR($X150="Downgrade",$X150="Switch to Annual")))</f>
        <v>0</v>
      </c>
    </row>
    <row r="151" spans="19:27">
      <c r="S151" s="84">
        <f>'📦 Subscriptions'!$B140</f>
        <v>0</v>
      </c>
      <c r="T151" s="84">
        <f>'📦 Subscriptions'!$C140</f>
        <v>0</v>
      </c>
      <c r="U151" s="8" t="str">
        <f>'📦 Subscriptions'!$G140</f>
        <v/>
      </c>
      <c r="V151" s="5">
        <f>'📦 Subscriptions'!$L140</f>
        <v>0</v>
      </c>
      <c r="W151" s="6">
        <f>'📦 Subscriptions'!$M140</f>
        <v>0</v>
      </c>
      <c r="X151" s="84">
        <f>'📦 Subscriptions'!$N140</f>
        <v>0</v>
      </c>
      <c r="Y151" s="84" t="b">
        <f>IF($S151="","",AND('📦 Subscriptions'!$J140="Active",COUNTIFS('📦 Subscriptions'!$C$6:$C$205,$T151,'📦 Subscriptions'!$J$6:$J$205,"Active")&gt;1,$U151&gt;0))</f>
        <v>0</v>
      </c>
      <c r="Z151" s="84" t="b">
        <f>IF($S151="","",AND('📦 Subscriptions'!$J140="Active",OR('⚙️ Settings'!$C$7-$V151&gt;='⚙️ Settings'!$C$9,$W151&lt;'⚙️ Settings'!$C$10)))</f>
        <v>0</v>
      </c>
      <c r="AA151" s="84" t="b">
        <f>IF($S151="","",AND('📦 Subscriptions'!$J140="Active",OR($X151="Downgrade",$X151="Switch to Annual")))</f>
        <v>0</v>
      </c>
    </row>
    <row r="152" spans="19:27">
      <c r="S152" s="84">
        <f>'📦 Subscriptions'!$B141</f>
        <v>0</v>
      </c>
      <c r="T152" s="84">
        <f>'📦 Subscriptions'!$C141</f>
        <v>0</v>
      </c>
      <c r="U152" s="8" t="str">
        <f>'📦 Subscriptions'!$G141</f>
        <v/>
      </c>
      <c r="V152" s="5">
        <f>'📦 Subscriptions'!$L141</f>
        <v>0</v>
      </c>
      <c r="W152" s="6">
        <f>'📦 Subscriptions'!$M141</f>
        <v>0</v>
      </c>
      <c r="X152" s="84">
        <f>'📦 Subscriptions'!$N141</f>
        <v>0</v>
      </c>
      <c r="Y152" s="84" t="b">
        <f>IF($S152="","",AND('📦 Subscriptions'!$J141="Active",COUNTIFS('📦 Subscriptions'!$C$6:$C$205,$T152,'📦 Subscriptions'!$J$6:$J$205,"Active")&gt;1,$U152&gt;0))</f>
        <v>0</v>
      </c>
      <c r="Z152" s="84" t="b">
        <f>IF($S152="","",AND('📦 Subscriptions'!$J141="Active",OR('⚙️ Settings'!$C$7-$V152&gt;='⚙️ Settings'!$C$9,$W152&lt;'⚙️ Settings'!$C$10)))</f>
        <v>0</v>
      </c>
      <c r="AA152" s="84" t="b">
        <f>IF($S152="","",AND('📦 Subscriptions'!$J141="Active",OR($X152="Downgrade",$X152="Switch to Annual")))</f>
        <v>0</v>
      </c>
    </row>
    <row r="153" spans="19:27">
      <c r="S153" s="84">
        <f>'📦 Subscriptions'!$B142</f>
        <v>0</v>
      </c>
      <c r="T153" s="84">
        <f>'📦 Subscriptions'!$C142</f>
        <v>0</v>
      </c>
      <c r="U153" s="8" t="str">
        <f>'📦 Subscriptions'!$G142</f>
        <v/>
      </c>
      <c r="V153" s="5">
        <f>'📦 Subscriptions'!$L142</f>
        <v>0</v>
      </c>
      <c r="W153" s="6">
        <f>'📦 Subscriptions'!$M142</f>
        <v>0</v>
      </c>
      <c r="X153" s="84">
        <f>'📦 Subscriptions'!$N142</f>
        <v>0</v>
      </c>
      <c r="Y153" s="84" t="b">
        <f>IF($S153="","",AND('📦 Subscriptions'!$J142="Active",COUNTIFS('📦 Subscriptions'!$C$6:$C$205,$T153,'📦 Subscriptions'!$J$6:$J$205,"Active")&gt;1,$U153&gt;0))</f>
        <v>0</v>
      </c>
      <c r="Z153" s="84" t="b">
        <f>IF($S153="","",AND('📦 Subscriptions'!$J142="Active",OR('⚙️ Settings'!$C$7-$V153&gt;='⚙️ Settings'!$C$9,$W153&lt;'⚙️ Settings'!$C$10)))</f>
        <v>0</v>
      </c>
      <c r="AA153" s="84" t="b">
        <f>IF($S153="","",AND('📦 Subscriptions'!$J142="Active",OR($X153="Downgrade",$X153="Switch to Annual")))</f>
        <v>0</v>
      </c>
    </row>
    <row r="154" spans="19:27">
      <c r="S154" s="84">
        <f>'📦 Subscriptions'!$B143</f>
        <v>0</v>
      </c>
      <c r="T154" s="84">
        <f>'📦 Subscriptions'!$C143</f>
        <v>0</v>
      </c>
      <c r="U154" s="8" t="str">
        <f>'📦 Subscriptions'!$G143</f>
        <v/>
      </c>
      <c r="V154" s="5">
        <f>'📦 Subscriptions'!$L143</f>
        <v>0</v>
      </c>
      <c r="W154" s="6">
        <f>'📦 Subscriptions'!$M143</f>
        <v>0</v>
      </c>
      <c r="X154" s="84">
        <f>'📦 Subscriptions'!$N143</f>
        <v>0</v>
      </c>
      <c r="Y154" s="84" t="b">
        <f>IF($S154="","",AND('📦 Subscriptions'!$J143="Active",COUNTIFS('📦 Subscriptions'!$C$6:$C$205,$T154,'📦 Subscriptions'!$J$6:$J$205,"Active")&gt;1,$U154&gt;0))</f>
        <v>0</v>
      </c>
      <c r="Z154" s="84" t="b">
        <f>IF($S154="","",AND('📦 Subscriptions'!$J143="Active",OR('⚙️ Settings'!$C$7-$V154&gt;='⚙️ Settings'!$C$9,$W154&lt;'⚙️ Settings'!$C$10)))</f>
        <v>0</v>
      </c>
      <c r="AA154" s="84" t="b">
        <f>IF($S154="","",AND('📦 Subscriptions'!$J143="Active",OR($X154="Downgrade",$X154="Switch to Annual")))</f>
        <v>0</v>
      </c>
    </row>
    <row r="155" spans="19:27">
      <c r="S155" s="84">
        <f>'📦 Subscriptions'!$B144</f>
        <v>0</v>
      </c>
      <c r="T155" s="84">
        <f>'📦 Subscriptions'!$C144</f>
        <v>0</v>
      </c>
      <c r="U155" s="8" t="str">
        <f>'📦 Subscriptions'!$G144</f>
        <v/>
      </c>
      <c r="V155" s="5">
        <f>'📦 Subscriptions'!$L144</f>
        <v>0</v>
      </c>
      <c r="W155" s="6">
        <f>'📦 Subscriptions'!$M144</f>
        <v>0</v>
      </c>
      <c r="X155" s="84">
        <f>'📦 Subscriptions'!$N144</f>
        <v>0</v>
      </c>
      <c r="Y155" s="84" t="b">
        <f>IF($S155="","",AND('📦 Subscriptions'!$J144="Active",COUNTIFS('📦 Subscriptions'!$C$6:$C$205,$T155,'📦 Subscriptions'!$J$6:$J$205,"Active")&gt;1,$U155&gt;0))</f>
        <v>0</v>
      </c>
      <c r="Z155" s="84" t="b">
        <f>IF($S155="","",AND('📦 Subscriptions'!$J144="Active",OR('⚙️ Settings'!$C$7-$V155&gt;='⚙️ Settings'!$C$9,$W155&lt;'⚙️ Settings'!$C$10)))</f>
        <v>0</v>
      </c>
      <c r="AA155" s="84" t="b">
        <f>IF($S155="","",AND('📦 Subscriptions'!$J144="Active",OR($X155="Downgrade",$X155="Switch to Annual")))</f>
        <v>0</v>
      </c>
    </row>
    <row r="156" spans="19:27">
      <c r="S156" s="84">
        <f>'📦 Subscriptions'!$B145</f>
        <v>0</v>
      </c>
      <c r="T156" s="84">
        <f>'📦 Subscriptions'!$C145</f>
        <v>0</v>
      </c>
      <c r="U156" s="8" t="str">
        <f>'📦 Subscriptions'!$G145</f>
        <v/>
      </c>
      <c r="V156" s="5">
        <f>'📦 Subscriptions'!$L145</f>
        <v>0</v>
      </c>
      <c r="W156" s="6">
        <f>'📦 Subscriptions'!$M145</f>
        <v>0</v>
      </c>
      <c r="X156" s="84">
        <f>'📦 Subscriptions'!$N145</f>
        <v>0</v>
      </c>
      <c r="Y156" s="84" t="b">
        <f>IF($S156="","",AND('📦 Subscriptions'!$J145="Active",COUNTIFS('📦 Subscriptions'!$C$6:$C$205,$T156,'📦 Subscriptions'!$J$6:$J$205,"Active")&gt;1,$U156&gt;0))</f>
        <v>0</v>
      </c>
      <c r="Z156" s="84" t="b">
        <f>IF($S156="","",AND('📦 Subscriptions'!$J145="Active",OR('⚙️ Settings'!$C$7-$V156&gt;='⚙️ Settings'!$C$9,$W156&lt;'⚙️ Settings'!$C$10)))</f>
        <v>0</v>
      </c>
      <c r="AA156" s="84" t="b">
        <f>IF($S156="","",AND('📦 Subscriptions'!$J145="Active",OR($X156="Downgrade",$X156="Switch to Annual")))</f>
        <v>0</v>
      </c>
    </row>
    <row r="157" spans="19:27">
      <c r="S157" s="84">
        <f>'📦 Subscriptions'!$B146</f>
        <v>0</v>
      </c>
      <c r="T157" s="84">
        <f>'📦 Subscriptions'!$C146</f>
        <v>0</v>
      </c>
      <c r="U157" s="8" t="str">
        <f>'📦 Subscriptions'!$G146</f>
        <v/>
      </c>
      <c r="V157" s="5">
        <f>'📦 Subscriptions'!$L146</f>
        <v>0</v>
      </c>
      <c r="W157" s="6">
        <f>'📦 Subscriptions'!$M146</f>
        <v>0</v>
      </c>
      <c r="X157" s="84">
        <f>'📦 Subscriptions'!$N146</f>
        <v>0</v>
      </c>
      <c r="Y157" s="84" t="b">
        <f>IF($S157="","",AND('📦 Subscriptions'!$J146="Active",COUNTIFS('📦 Subscriptions'!$C$6:$C$205,$T157,'📦 Subscriptions'!$J$6:$J$205,"Active")&gt;1,$U157&gt;0))</f>
        <v>0</v>
      </c>
      <c r="Z157" s="84" t="b">
        <f>IF($S157="","",AND('📦 Subscriptions'!$J146="Active",OR('⚙️ Settings'!$C$7-$V157&gt;='⚙️ Settings'!$C$9,$W157&lt;'⚙️ Settings'!$C$10)))</f>
        <v>0</v>
      </c>
      <c r="AA157" s="84" t="b">
        <f>IF($S157="","",AND('📦 Subscriptions'!$J146="Active",OR($X157="Downgrade",$X157="Switch to Annual")))</f>
        <v>0</v>
      </c>
    </row>
    <row r="158" spans="19:27">
      <c r="S158" s="84">
        <f>'📦 Subscriptions'!$B147</f>
        <v>0</v>
      </c>
      <c r="T158" s="84">
        <f>'📦 Subscriptions'!$C147</f>
        <v>0</v>
      </c>
      <c r="U158" s="8" t="str">
        <f>'📦 Subscriptions'!$G147</f>
        <v/>
      </c>
      <c r="V158" s="5">
        <f>'📦 Subscriptions'!$L147</f>
        <v>0</v>
      </c>
      <c r="W158" s="6">
        <f>'📦 Subscriptions'!$M147</f>
        <v>0</v>
      </c>
      <c r="X158" s="84">
        <f>'📦 Subscriptions'!$N147</f>
        <v>0</v>
      </c>
      <c r="Y158" s="84" t="b">
        <f>IF($S158="","",AND('📦 Subscriptions'!$J147="Active",COUNTIFS('📦 Subscriptions'!$C$6:$C$205,$T158,'📦 Subscriptions'!$J$6:$J$205,"Active")&gt;1,$U158&gt;0))</f>
        <v>0</v>
      </c>
      <c r="Z158" s="84" t="b">
        <f>IF($S158="","",AND('📦 Subscriptions'!$J147="Active",OR('⚙️ Settings'!$C$7-$V158&gt;='⚙️ Settings'!$C$9,$W158&lt;'⚙️ Settings'!$C$10)))</f>
        <v>0</v>
      </c>
      <c r="AA158" s="84" t="b">
        <f>IF($S158="","",AND('📦 Subscriptions'!$J147="Active",OR($X158="Downgrade",$X158="Switch to Annual")))</f>
        <v>0</v>
      </c>
    </row>
    <row r="159" spans="19:27">
      <c r="S159" s="84">
        <f>'📦 Subscriptions'!$B148</f>
        <v>0</v>
      </c>
      <c r="T159" s="84">
        <f>'📦 Subscriptions'!$C148</f>
        <v>0</v>
      </c>
      <c r="U159" s="8" t="str">
        <f>'📦 Subscriptions'!$G148</f>
        <v/>
      </c>
      <c r="V159" s="5">
        <f>'📦 Subscriptions'!$L148</f>
        <v>0</v>
      </c>
      <c r="W159" s="6">
        <f>'📦 Subscriptions'!$M148</f>
        <v>0</v>
      </c>
      <c r="X159" s="84">
        <f>'📦 Subscriptions'!$N148</f>
        <v>0</v>
      </c>
      <c r="Y159" s="84" t="b">
        <f>IF($S159="","",AND('📦 Subscriptions'!$J148="Active",COUNTIFS('📦 Subscriptions'!$C$6:$C$205,$T159,'📦 Subscriptions'!$J$6:$J$205,"Active")&gt;1,$U159&gt;0))</f>
        <v>0</v>
      </c>
      <c r="Z159" s="84" t="b">
        <f>IF($S159="","",AND('📦 Subscriptions'!$J148="Active",OR('⚙️ Settings'!$C$7-$V159&gt;='⚙️ Settings'!$C$9,$W159&lt;'⚙️ Settings'!$C$10)))</f>
        <v>0</v>
      </c>
      <c r="AA159" s="84" t="b">
        <f>IF($S159="","",AND('📦 Subscriptions'!$J148="Active",OR($X159="Downgrade",$X159="Switch to Annual")))</f>
        <v>0</v>
      </c>
    </row>
    <row r="160" spans="19:27">
      <c r="S160" s="84">
        <f>'📦 Subscriptions'!$B149</f>
        <v>0</v>
      </c>
      <c r="T160" s="84">
        <f>'📦 Subscriptions'!$C149</f>
        <v>0</v>
      </c>
      <c r="U160" s="8" t="str">
        <f>'📦 Subscriptions'!$G149</f>
        <v/>
      </c>
      <c r="V160" s="5">
        <f>'📦 Subscriptions'!$L149</f>
        <v>0</v>
      </c>
      <c r="W160" s="6">
        <f>'📦 Subscriptions'!$M149</f>
        <v>0</v>
      </c>
      <c r="X160" s="84">
        <f>'📦 Subscriptions'!$N149</f>
        <v>0</v>
      </c>
      <c r="Y160" s="84" t="b">
        <f>IF($S160="","",AND('📦 Subscriptions'!$J149="Active",COUNTIFS('📦 Subscriptions'!$C$6:$C$205,$T160,'📦 Subscriptions'!$J$6:$J$205,"Active")&gt;1,$U160&gt;0))</f>
        <v>0</v>
      </c>
      <c r="Z160" s="84" t="b">
        <f>IF($S160="","",AND('📦 Subscriptions'!$J149="Active",OR('⚙️ Settings'!$C$7-$V160&gt;='⚙️ Settings'!$C$9,$W160&lt;'⚙️ Settings'!$C$10)))</f>
        <v>0</v>
      </c>
      <c r="AA160" s="84" t="b">
        <f>IF($S160="","",AND('📦 Subscriptions'!$J149="Active",OR($X160="Downgrade",$X160="Switch to Annual")))</f>
        <v>0</v>
      </c>
    </row>
    <row r="161" spans="19:27">
      <c r="S161" s="84">
        <f>'📦 Subscriptions'!$B150</f>
        <v>0</v>
      </c>
      <c r="T161" s="84">
        <f>'📦 Subscriptions'!$C150</f>
        <v>0</v>
      </c>
      <c r="U161" s="8" t="str">
        <f>'📦 Subscriptions'!$G150</f>
        <v/>
      </c>
      <c r="V161" s="5">
        <f>'📦 Subscriptions'!$L150</f>
        <v>0</v>
      </c>
      <c r="W161" s="6">
        <f>'📦 Subscriptions'!$M150</f>
        <v>0</v>
      </c>
      <c r="X161" s="84">
        <f>'📦 Subscriptions'!$N150</f>
        <v>0</v>
      </c>
      <c r="Y161" s="84" t="b">
        <f>IF($S161="","",AND('📦 Subscriptions'!$J150="Active",COUNTIFS('📦 Subscriptions'!$C$6:$C$205,$T161,'📦 Subscriptions'!$J$6:$J$205,"Active")&gt;1,$U161&gt;0))</f>
        <v>0</v>
      </c>
      <c r="Z161" s="84" t="b">
        <f>IF($S161="","",AND('📦 Subscriptions'!$J150="Active",OR('⚙️ Settings'!$C$7-$V161&gt;='⚙️ Settings'!$C$9,$W161&lt;'⚙️ Settings'!$C$10)))</f>
        <v>0</v>
      </c>
      <c r="AA161" s="84" t="b">
        <f>IF($S161="","",AND('📦 Subscriptions'!$J150="Active",OR($X161="Downgrade",$X161="Switch to Annual")))</f>
        <v>0</v>
      </c>
    </row>
    <row r="162" spans="19:27">
      <c r="S162" s="84">
        <f>'📦 Subscriptions'!$B151</f>
        <v>0</v>
      </c>
      <c r="T162" s="84">
        <f>'📦 Subscriptions'!$C151</f>
        <v>0</v>
      </c>
      <c r="U162" s="8" t="str">
        <f>'📦 Subscriptions'!$G151</f>
        <v/>
      </c>
      <c r="V162" s="5">
        <f>'📦 Subscriptions'!$L151</f>
        <v>0</v>
      </c>
      <c r="W162" s="6">
        <f>'📦 Subscriptions'!$M151</f>
        <v>0</v>
      </c>
      <c r="X162" s="84">
        <f>'📦 Subscriptions'!$N151</f>
        <v>0</v>
      </c>
      <c r="Y162" s="84" t="b">
        <f>IF($S162="","",AND('📦 Subscriptions'!$J151="Active",COUNTIFS('📦 Subscriptions'!$C$6:$C$205,$T162,'📦 Subscriptions'!$J$6:$J$205,"Active")&gt;1,$U162&gt;0))</f>
        <v>0</v>
      </c>
      <c r="Z162" s="84" t="b">
        <f>IF($S162="","",AND('📦 Subscriptions'!$J151="Active",OR('⚙️ Settings'!$C$7-$V162&gt;='⚙️ Settings'!$C$9,$W162&lt;'⚙️ Settings'!$C$10)))</f>
        <v>0</v>
      </c>
      <c r="AA162" s="84" t="b">
        <f>IF($S162="","",AND('📦 Subscriptions'!$J151="Active",OR($X162="Downgrade",$X162="Switch to Annual")))</f>
        <v>0</v>
      </c>
    </row>
    <row r="163" spans="19:27">
      <c r="S163" s="84">
        <f>'📦 Subscriptions'!$B152</f>
        <v>0</v>
      </c>
      <c r="T163" s="84">
        <f>'📦 Subscriptions'!$C152</f>
        <v>0</v>
      </c>
      <c r="U163" s="8" t="str">
        <f>'📦 Subscriptions'!$G152</f>
        <v/>
      </c>
      <c r="V163" s="5">
        <f>'📦 Subscriptions'!$L152</f>
        <v>0</v>
      </c>
      <c r="W163" s="6">
        <f>'📦 Subscriptions'!$M152</f>
        <v>0</v>
      </c>
      <c r="X163" s="84">
        <f>'📦 Subscriptions'!$N152</f>
        <v>0</v>
      </c>
      <c r="Y163" s="84" t="b">
        <f>IF($S163="","",AND('📦 Subscriptions'!$J152="Active",COUNTIFS('📦 Subscriptions'!$C$6:$C$205,$T163,'📦 Subscriptions'!$J$6:$J$205,"Active")&gt;1,$U163&gt;0))</f>
        <v>0</v>
      </c>
      <c r="Z163" s="84" t="b">
        <f>IF($S163="","",AND('📦 Subscriptions'!$J152="Active",OR('⚙️ Settings'!$C$7-$V163&gt;='⚙️ Settings'!$C$9,$W163&lt;'⚙️ Settings'!$C$10)))</f>
        <v>0</v>
      </c>
      <c r="AA163" s="84" t="b">
        <f>IF($S163="","",AND('📦 Subscriptions'!$J152="Active",OR($X163="Downgrade",$X163="Switch to Annual")))</f>
        <v>0</v>
      </c>
    </row>
    <row r="164" spans="19:27">
      <c r="S164" s="84">
        <f>'📦 Subscriptions'!$B153</f>
        <v>0</v>
      </c>
      <c r="T164" s="84">
        <f>'📦 Subscriptions'!$C153</f>
        <v>0</v>
      </c>
      <c r="U164" s="8" t="str">
        <f>'📦 Subscriptions'!$G153</f>
        <v/>
      </c>
      <c r="V164" s="5">
        <f>'📦 Subscriptions'!$L153</f>
        <v>0</v>
      </c>
      <c r="W164" s="6">
        <f>'📦 Subscriptions'!$M153</f>
        <v>0</v>
      </c>
      <c r="X164" s="84">
        <f>'📦 Subscriptions'!$N153</f>
        <v>0</v>
      </c>
      <c r="Y164" s="84" t="b">
        <f>IF($S164="","",AND('📦 Subscriptions'!$J153="Active",COUNTIFS('📦 Subscriptions'!$C$6:$C$205,$T164,'📦 Subscriptions'!$J$6:$J$205,"Active")&gt;1,$U164&gt;0))</f>
        <v>0</v>
      </c>
      <c r="Z164" s="84" t="b">
        <f>IF($S164="","",AND('📦 Subscriptions'!$J153="Active",OR('⚙️ Settings'!$C$7-$V164&gt;='⚙️ Settings'!$C$9,$W164&lt;'⚙️ Settings'!$C$10)))</f>
        <v>0</v>
      </c>
      <c r="AA164" s="84" t="b">
        <f>IF($S164="","",AND('📦 Subscriptions'!$J153="Active",OR($X164="Downgrade",$X164="Switch to Annual")))</f>
        <v>0</v>
      </c>
    </row>
    <row r="165" spans="19:27">
      <c r="S165" s="84">
        <f>'📦 Subscriptions'!$B154</f>
        <v>0</v>
      </c>
      <c r="T165" s="84">
        <f>'📦 Subscriptions'!$C154</f>
        <v>0</v>
      </c>
      <c r="U165" s="8" t="str">
        <f>'📦 Subscriptions'!$G154</f>
        <v/>
      </c>
      <c r="V165" s="5">
        <f>'📦 Subscriptions'!$L154</f>
        <v>0</v>
      </c>
      <c r="W165" s="6">
        <f>'📦 Subscriptions'!$M154</f>
        <v>0</v>
      </c>
      <c r="X165" s="84">
        <f>'📦 Subscriptions'!$N154</f>
        <v>0</v>
      </c>
      <c r="Y165" s="84" t="b">
        <f>IF($S165="","",AND('📦 Subscriptions'!$J154="Active",COUNTIFS('📦 Subscriptions'!$C$6:$C$205,$T165,'📦 Subscriptions'!$J$6:$J$205,"Active")&gt;1,$U165&gt;0))</f>
        <v>0</v>
      </c>
      <c r="Z165" s="84" t="b">
        <f>IF($S165="","",AND('📦 Subscriptions'!$J154="Active",OR('⚙️ Settings'!$C$7-$V165&gt;='⚙️ Settings'!$C$9,$W165&lt;'⚙️ Settings'!$C$10)))</f>
        <v>0</v>
      </c>
      <c r="AA165" s="84" t="b">
        <f>IF($S165="","",AND('📦 Subscriptions'!$J154="Active",OR($X165="Downgrade",$X165="Switch to Annual")))</f>
        <v>0</v>
      </c>
    </row>
    <row r="166" spans="19:27">
      <c r="S166" s="84">
        <f>'📦 Subscriptions'!$B155</f>
        <v>0</v>
      </c>
      <c r="T166" s="84">
        <f>'📦 Subscriptions'!$C155</f>
        <v>0</v>
      </c>
      <c r="U166" s="8" t="str">
        <f>'📦 Subscriptions'!$G155</f>
        <v/>
      </c>
      <c r="V166" s="5">
        <f>'📦 Subscriptions'!$L155</f>
        <v>0</v>
      </c>
      <c r="W166" s="6">
        <f>'📦 Subscriptions'!$M155</f>
        <v>0</v>
      </c>
      <c r="X166" s="84">
        <f>'📦 Subscriptions'!$N155</f>
        <v>0</v>
      </c>
      <c r="Y166" s="84" t="b">
        <f>IF($S166="","",AND('📦 Subscriptions'!$J155="Active",COUNTIFS('📦 Subscriptions'!$C$6:$C$205,$T166,'📦 Subscriptions'!$J$6:$J$205,"Active")&gt;1,$U166&gt;0))</f>
        <v>0</v>
      </c>
      <c r="Z166" s="84" t="b">
        <f>IF($S166="","",AND('📦 Subscriptions'!$J155="Active",OR('⚙️ Settings'!$C$7-$V166&gt;='⚙️ Settings'!$C$9,$W166&lt;'⚙️ Settings'!$C$10)))</f>
        <v>0</v>
      </c>
      <c r="AA166" s="84" t="b">
        <f>IF($S166="","",AND('📦 Subscriptions'!$J155="Active",OR($X166="Downgrade",$X166="Switch to Annual")))</f>
        <v>0</v>
      </c>
    </row>
    <row r="167" spans="19:27">
      <c r="S167" s="84">
        <f>'📦 Subscriptions'!$B156</f>
        <v>0</v>
      </c>
      <c r="T167" s="84">
        <f>'📦 Subscriptions'!$C156</f>
        <v>0</v>
      </c>
      <c r="U167" s="8" t="str">
        <f>'📦 Subscriptions'!$G156</f>
        <v/>
      </c>
      <c r="V167" s="5">
        <f>'📦 Subscriptions'!$L156</f>
        <v>0</v>
      </c>
      <c r="W167" s="6">
        <f>'📦 Subscriptions'!$M156</f>
        <v>0</v>
      </c>
      <c r="X167" s="84">
        <f>'📦 Subscriptions'!$N156</f>
        <v>0</v>
      </c>
      <c r="Y167" s="84" t="b">
        <f>IF($S167="","",AND('📦 Subscriptions'!$J156="Active",COUNTIFS('📦 Subscriptions'!$C$6:$C$205,$T167,'📦 Subscriptions'!$J$6:$J$205,"Active")&gt;1,$U167&gt;0))</f>
        <v>0</v>
      </c>
      <c r="Z167" s="84" t="b">
        <f>IF($S167="","",AND('📦 Subscriptions'!$J156="Active",OR('⚙️ Settings'!$C$7-$V167&gt;='⚙️ Settings'!$C$9,$W167&lt;'⚙️ Settings'!$C$10)))</f>
        <v>0</v>
      </c>
      <c r="AA167" s="84" t="b">
        <f>IF($S167="","",AND('📦 Subscriptions'!$J156="Active",OR($X167="Downgrade",$X167="Switch to Annual")))</f>
        <v>0</v>
      </c>
    </row>
    <row r="168" spans="19:27">
      <c r="S168" s="84">
        <f>'📦 Subscriptions'!$B157</f>
        <v>0</v>
      </c>
      <c r="T168" s="84">
        <f>'📦 Subscriptions'!$C157</f>
        <v>0</v>
      </c>
      <c r="U168" s="8" t="str">
        <f>'📦 Subscriptions'!$G157</f>
        <v/>
      </c>
      <c r="V168" s="5">
        <f>'📦 Subscriptions'!$L157</f>
        <v>0</v>
      </c>
      <c r="W168" s="6">
        <f>'📦 Subscriptions'!$M157</f>
        <v>0</v>
      </c>
      <c r="X168" s="84">
        <f>'📦 Subscriptions'!$N157</f>
        <v>0</v>
      </c>
      <c r="Y168" s="84" t="b">
        <f>IF($S168="","",AND('📦 Subscriptions'!$J157="Active",COUNTIFS('📦 Subscriptions'!$C$6:$C$205,$T168,'📦 Subscriptions'!$J$6:$J$205,"Active")&gt;1,$U168&gt;0))</f>
        <v>0</v>
      </c>
      <c r="Z168" s="84" t="b">
        <f>IF($S168="","",AND('📦 Subscriptions'!$J157="Active",OR('⚙️ Settings'!$C$7-$V168&gt;='⚙️ Settings'!$C$9,$W168&lt;'⚙️ Settings'!$C$10)))</f>
        <v>0</v>
      </c>
      <c r="AA168" s="84" t="b">
        <f>IF($S168="","",AND('📦 Subscriptions'!$J157="Active",OR($X168="Downgrade",$X168="Switch to Annual")))</f>
        <v>0</v>
      </c>
    </row>
    <row r="169" spans="19:27">
      <c r="S169" s="84">
        <f>'📦 Subscriptions'!$B158</f>
        <v>0</v>
      </c>
      <c r="T169" s="84">
        <f>'📦 Subscriptions'!$C158</f>
        <v>0</v>
      </c>
      <c r="U169" s="8" t="str">
        <f>'📦 Subscriptions'!$G158</f>
        <v/>
      </c>
      <c r="V169" s="5">
        <f>'📦 Subscriptions'!$L158</f>
        <v>0</v>
      </c>
      <c r="W169" s="6">
        <f>'📦 Subscriptions'!$M158</f>
        <v>0</v>
      </c>
      <c r="X169" s="84">
        <f>'📦 Subscriptions'!$N158</f>
        <v>0</v>
      </c>
      <c r="Y169" s="84" t="b">
        <f>IF($S169="","",AND('📦 Subscriptions'!$J158="Active",COUNTIFS('📦 Subscriptions'!$C$6:$C$205,$T169,'📦 Subscriptions'!$J$6:$J$205,"Active")&gt;1,$U169&gt;0))</f>
        <v>0</v>
      </c>
      <c r="Z169" s="84" t="b">
        <f>IF($S169="","",AND('📦 Subscriptions'!$J158="Active",OR('⚙️ Settings'!$C$7-$V169&gt;='⚙️ Settings'!$C$9,$W169&lt;'⚙️ Settings'!$C$10)))</f>
        <v>0</v>
      </c>
      <c r="AA169" s="84" t="b">
        <f>IF($S169="","",AND('📦 Subscriptions'!$J158="Active",OR($X169="Downgrade",$X169="Switch to Annual")))</f>
        <v>0</v>
      </c>
    </row>
    <row r="170" spans="19:27">
      <c r="S170" s="84">
        <f>'📦 Subscriptions'!$B159</f>
        <v>0</v>
      </c>
      <c r="T170" s="84">
        <f>'📦 Subscriptions'!$C159</f>
        <v>0</v>
      </c>
      <c r="U170" s="8" t="str">
        <f>'📦 Subscriptions'!$G159</f>
        <v/>
      </c>
      <c r="V170" s="5">
        <f>'📦 Subscriptions'!$L159</f>
        <v>0</v>
      </c>
      <c r="W170" s="6">
        <f>'📦 Subscriptions'!$M159</f>
        <v>0</v>
      </c>
      <c r="X170" s="84">
        <f>'📦 Subscriptions'!$N159</f>
        <v>0</v>
      </c>
      <c r="Y170" s="84" t="b">
        <f>IF($S170="","",AND('📦 Subscriptions'!$J159="Active",COUNTIFS('📦 Subscriptions'!$C$6:$C$205,$T170,'📦 Subscriptions'!$J$6:$J$205,"Active")&gt;1,$U170&gt;0))</f>
        <v>0</v>
      </c>
      <c r="Z170" s="84" t="b">
        <f>IF($S170="","",AND('📦 Subscriptions'!$J159="Active",OR('⚙️ Settings'!$C$7-$V170&gt;='⚙️ Settings'!$C$9,$W170&lt;'⚙️ Settings'!$C$10)))</f>
        <v>0</v>
      </c>
      <c r="AA170" s="84" t="b">
        <f>IF($S170="","",AND('📦 Subscriptions'!$J159="Active",OR($X170="Downgrade",$X170="Switch to Annual")))</f>
        <v>0</v>
      </c>
    </row>
    <row r="171" spans="19:27">
      <c r="S171" s="84">
        <f>'📦 Subscriptions'!$B160</f>
        <v>0</v>
      </c>
      <c r="T171" s="84">
        <f>'📦 Subscriptions'!$C160</f>
        <v>0</v>
      </c>
      <c r="U171" s="8" t="str">
        <f>'📦 Subscriptions'!$G160</f>
        <v/>
      </c>
      <c r="V171" s="5">
        <f>'📦 Subscriptions'!$L160</f>
        <v>0</v>
      </c>
      <c r="W171" s="6">
        <f>'📦 Subscriptions'!$M160</f>
        <v>0</v>
      </c>
      <c r="X171" s="84">
        <f>'📦 Subscriptions'!$N160</f>
        <v>0</v>
      </c>
      <c r="Y171" s="84" t="b">
        <f>IF($S171="","",AND('📦 Subscriptions'!$J160="Active",COUNTIFS('📦 Subscriptions'!$C$6:$C$205,$T171,'📦 Subscriptions'!$J$6:$J$205,"Active")&gt;1,$U171&gt;0))</f>
        <v>0</v>
      </c>
      <c r="Z171" s="84" t="b">
        <f>IF($S171="","",AND('📦 Subscriptions'!$J160="Active",OR('⚙️ Settings'!$C$7-$V171&gt;='⚙️ Settings'!$C$9,$W171&lt;'⚙️ Settings'!$C$10)))</f>
        <v>0</v>
      </c>
      <c r="AA171" s="84" t="b">
        <f>IF($S171="","",AND('📦 Subscriptions'!$J160="Active",OR($X171="Downgrade",$X171="Switch to Annual")))</f>
        <v>0</v>
      </c>
    </row>
    <row r="172" spans="19:27">
      <c r="S172" s="84">
        <f>'📦 Subscriptions'!$B161</f>
        <v>0</v>
      </c>
      <c r="T172" s="84">
        <f>'📦 Subscriptions'!$C161</f>
        <v>0</v>
      </c>
      <c r="U172" s="8" t="str">
        <f>'📦 Subscriptions'!$G161</f>
        <v/>
      </c>
      <c r="V172" s="5">
        <f>'📦 Subscriptions'!$L161</f>
        <v>0</v>
      </c>
      <c r="W172" s="6">
        <f>'📦 Subscriptions'!$M161</f>
        <v>0</v>
      </c>
      <c r="X172" s="84">
        <f>'📦 Subscriptions'!$N161</f>
        <v>0</v>
      </c>
      <c r="Y172" s="84" t="b">
        <f>IF($S172="","",AND('📦 Subscriptions'!$J161="Active",COUNTIFS('📦 Subscriptions'!$C$6:$C$205,$T172,'📦 Subscriptions'!$J$6:$J$205,"Active")&gt;1,$U172&gt;0))</f>
        <v>0</v>
      </c>
      <c r="Z172" s="84" t="b">
        <f>IF($S172="","",AND('📦 Subscriptions'!$J161="Active",OR('⚙️ Settings'!$C$7-$V172&gt;='⚙️ Settings'!$C$9,$W172&lt;'⚙️ Settings'!$C$10)))</f>
        <v>0</v>
      </c>
      <c r="AA172" s="84" t="b">
        <f>IF($S172="","",AND('📦 Subscriptions'!$J161="Active",OR($X172="Downgrade",$X172="Switch to Annual")))</f>
        <v>0</v>
      </c>
    </row>
    <row r="173" spans="19:27">
      <c r="S173" s="84">
        <f>'📦 Subscriptions'!$B162</f>
        <v>0</v>
      </c>
      <c r="T173" s="84">
        <f>'📦 Subscriptions'!$C162</f>
        <v>0</v>
      </c>
      <c r="U173" s="8" t="str">
        <f>'📦 Subscriptions'!$G162</f>
        <v/>
      </c>
      <c r="V173" s="5">
        <f>'📦 Subscriptions'!$L162</f>
        <v>0</v>
      </c>
      <c r="W173" s="6">
        <f>'📦 Subscriptions'!$M162</f>
        <v>0</v>
      </c>
      <c r="X173" s="84">
        <f>'📦 Subscriptions'!$N162</f>
        <v>0</v>
      </c>
      <c r="Y173" s="84" t="b">
        <f>IF($S173="","",AND('📦 Subscriptions'!$J162="Active",COUNTIFS('📦 Subscriptions'!$C$6:$C$205,$T173,'📦 Subscriptions'!$J$6:$J$205,"Active")&gt;1,$U173&gt;0))</f>
        <v>0</v>
      </c>
      <c r="Z173" s="84" t="b">
        <f>IF($S173="","",AND('📦 Subscriptions'!$J162="Active",OR('⚙️ Settings'!$C$7-$V173&gt;='⚙️ Settings'!$C$9,$W173&lt;'⚙️ Settings'!$C$10)))</f>
        <v>0</v>
      </c>
      <c r="AA173" s="84" t="b">
        <f>IF($S173="","",AND('📦 Subscriptions'!$J162="Active",OR($X173="Downgrade",$X173="Switch to Annual")))</f>
        <v>0</v>
      </c>
    </row>
    <row r="174" spans="19:27">
      <c r="S174" s="84">
        <f>'📦 Subscriptions'!$B163</f>
        <v>0</v>
      </c>
      <c r="T174" s="84">
        <f>'📦 Subscriptions'!$C163</f>
        <v>0</v>
      </c>
      <c r="U174" s="8" t="str">
        <f>'📦 Subscriptions'!$G163</f>
        <v/>
      </c>
      <c r="V174" s="5">
        <f>'📦 Subscriptions'!$L163</f>
        <v>0</v>
      </c>
      <c r="W174" s="6">
        <f>'📦 Subscriptions'!$M163</f>
        <v>0</v>
      </c>
      <c r="X174" s="84">
        <f>'📦 Subscriptions'!$N163</f>
        <v>0</v>
      </c>
      <c r="Y174" s="84" t="b">
        <f>IF($S174="","",AND('📦 Subscriptions'!$J163="Active",COUNTIFS('📦 Subscriptions'!$C$6:$C$205,$T174,'📦 Subscriptions'!$J$6:$J$205,"Active")&gt;1,$U174&gt;0))</f>
        <v>0</v>
      </c>
      <c r="Z174" s="84" t="b">
        <f>IF($S174="","",AND('📦 Subscriptions'!$J163="Active",OR('⚙️ Settings'!$C$7-$V174&gt;='⚙️ Settings'!$C$9,$W174&lt;'⚙️ Settings'!$C$10)))</f>
        <v>0</v>
      </c>
      <c r="AA174" s="84" t="b">
        <f>IF($S174="","",AND('📦 Subscriptions'!$J163="Active",OR($X174="Downgrade",$X174="Switch to Annual")))</f>
        <v>0</v>
      </c>
    </row>
    <row r="175" spans="19:27">
      <c r="S175" s="84">
        <f>'📦 Subscriptions'!$B164</f>
        <v>0</v>
      </c>
      <c r="T175" s="84">
        <f>'📦 Subscriptions'!$C164</f>
        <v>0</v>
      </c>
      <c r="U175" s="8" t="str">
        <f>'📦 Subscriptions'!$G164</f>
        <v/>
      </c>
      <c r="V175" s="5">
        <f>'📦 Subscriptions'!$L164</f>
        <v>0</v>
      </c>
      <c r="W175" s="6">
        <f>'📦 Subscriptions'!$M164</f>
        <v>0</v>
      </c>
      <c r="X175" s="84">
        <f>'📦 Subscriptions'!$N164</f>
        <v>0</v>
      </c>
      <c r="Y175" s="84" t="b">
        <f>IF($S175="","",AND('📦 Subscriptions'!$J164="Active",COUNTIFS('📦 Subscriptions'!$C$6:$C$205,$T175,'📦 Subscriptions'!$J$6:$J$205,"Active")&gt;1,$U175&gt;0))</f>
        <v>0</v>
      </c>
      <c r="Z175" s="84" t="b">
        <f>IF($S175="","",AND('📦 Subscriptions'!$J164="Active",OR('⚙️ Settings'!$C$7-$V175&gt;='⚙️ Settings'!$C$9,$W175&lt;'⚙️ Settings'!$C$10)))</f>
        <v>0</v>
      </c>
      <c r="AA175" s="84" t="b">
        <f>IF($S175="","",AND('📦 Subscriptions'!$J164="Active",OR($X175="Downgrade",$X175="Switch to Annual")))</f>
        <v>0</v>
      </c>
    </row>
    <row r="176" spans="19:27">
      <c r="S176" s="84">
        <f>'📦 Subscriptions'!$B165</f>
        <v>0</v>
      </c>
      <c r="T176" s="84">
        <f>'📦 Subscriptions'!$C165</f>
        <v>0</v>
      </c>
      <c r="U176" s="8" t="str">
        <f>'📦 Subscriptions'!$G165</f>
        <v/>
      </c>
      <c r="V176" s="5">
        <f>'📦 Subscriptions'!$L165</f>
        <v>0</v>
      </c>
      <c r="W176" s="6">
        <f>'📦 Subscriptions'!$M165</f>
        <v>0</v>
      </c>
      <c r="X176" s="84">
        <f>'📦 Subscriptions'!$N165</f>
        <v>0</v>
      </c>
      <c r="Y176" s="84" t="b">
        <f>IF($S176="","",AND('📦 Subscriptions'!$J165="Active",COUNTIFS('📦 Subscriptions'!$C$6:$C$205,$T176,'📦 Subscriptions'!$J$6:$J$205,"Active")&gt;1,$U176&gt;0))</f>
        <v>0</v>
      </c>
      <c r="Z176" s="84" t="b">
        <f>IF($S176="","",AND('📦 Subscriptions'!$J165="Active",OR('⚙️ Settings'!$C$7-$V176&gt;='⚙️ Settings'!$C$9,$W176&lt;'⚙️ Settings'!$C$10)))</f>
        <v>0</v>
      </c>
      <c r="AA176" s="84" t="b">
        <f>IF($S176="","",AND('📦 Subscriptions'!$J165="Active",OR($X176="Downgrade",$X176="Switch to Annual")))</f>
        <v>0</v>
      </c>
    </row>
    <row r="177" spans="19:27">
      <c r="S177" s="84">
        <f>'📦 Subscriptions'!$B166</f>
        <v>0</v>
      </c>
      <c r="T177" s="84">
        <f>'📦 Subscriptions'!$C166</f>
        <v>0</v>
      </c>
      <c r="U177" s="8" t="str">
        <f>'📦 Subscriptions'!$G166</f>
        <v/>
      </c>
      <c r="V177" s="5">
        <f>'📦 Subscriptions'!$L166</f>
        <v>0</v>
      </c>
      <c r="W177" s="6">
        <f>'📦 Subscriptions'!$M166</f>
        <v>0</v>
      </c>
      <c r="X177" s="84">
        <f>'📦 Subscriptions'!$N166</f>
        <v>0</v>
      </c>
      <c r="Y177" s="84" t="b">
        <f>IF($S177="","",AND('📦 Subscriptions'!$J166="Active",COUNTIFS('📦 Subscriptions'!$C$6:$C$205,$T177,'📦 Subscriptions'!$J$6:$J$205,"Active")&gt;1,$U177&gt;0))</f>
        <v>0</v>
      </c>
      <c r="Z177" s="84" t="b">
        <f>IF($S177="","",AND('📦 Subscriptions'!$J166="Active",OR('⚙️ Settings'!$C$7-$V177&gt;='⚙️ Settings'!$C$9,$W177&lt;'⚙️ Settings'!$C$10)))</f>
        <v>0</v>
      </c>
      <c r="AA177" s="84" t="b">
        <f>IF($S177="","",AND('📦 Subscriptions'!$J166="Active",OR($X177="Downgrade",$X177="Switch to Annual")))</f>
        <v>0</v>
      </c>
    </row>
    <row r="178" spans="19:27">
      <c r="S178" s="84">
        <f>'📦 Subscriptions'!$B167</f>
        <v>0</v>
      </c>
      <c r="T178" s="84">
        <f>'📦 Subscriptions'!$C167</f>
        <v>0</v>
      </c>
      <c r="U178" s="8" t="str">
        <f>'📦 Subscriptions'!$G167</f>
        <v/>
      </c>
      <c r="V178" s="5">
        <f>'📦 Subscriptions'!$L167</f>
        <v>0</v>
      </c>
      <c r="W178" s="6">
        <f>'📦 Subscriptions'!$M167</f>
        <v>0</v>
      </c>
      <c r="X178" s="84">
        <f>'📦 Subscriptions'!$N167</f>
        <v>0</v>
      </c>
      <c r="Y178" s="84" t="b">
        <f>IF($S178="","",AND('📦 Subscriptions'!$J167="Active",COUNTIFS('📦 Subscriptions'!$C$6:$C$205,$T178,'📦 Subscriptions'!$J$6:$J$205,"Active")&gt;1,$U178&gt;0))</f>
        <v>0</v>
      </c>
      <c r="Z178" s="84" t="b">
        <f>IF($S178="","",AND('📦 Subscriptions'!$J167="Active",OR('⚙️ Settings'!$C$7-$V178&gt;='⚙️ Settings'!$C$9,$W178&lt;'⚙️ Settings'!$C$10)))</f>
        <v>0</v>
      </c>
      <c r="AA178" s="84" t="b">
        <f>IF($S178="","",AND('📦 Subscriptions'!$J167="Active",OR($X178="Downgrade",$X178="Switch to Annual")))</f>
        <v>0</v>
      </c>
    </row>
    <row r="179" spans="19:27">
      <c r="S179" s="84">
        <f>'📦 Subscriptions'!$B168</f>
        <v>0</v>
      </c>
      <c r="T179" s="84">
        <f>'📦 Subscriptions'!$C168</f>
        <v>0</v>
      </c>
      <c r="U179" s="8" t="str">
        <f>'📦 Subscriptions'!$G168</f>
        <v/>
      </c>
      <c r="V179" s="5">
        <f>'📦 Subscriptions'!$L168</f>
        <v>0</v>
      </c>
      <c r="W179" s="6">
        <f>'📦 Subscriptions'!$M168</f>
        <v>0</v>
      </c>
      <c r="X179" s="84">
        <f>'📦 Subscriptions'!$N168</f>
        <v>0</v>
      </c>
      <c r="Y179" s="84" t="b">
        <f>IF($S179="","",AND('📦 Subscriptions'!$J168="Active",COUNTIFS('📦 Subscriptions'!$C$6:$C$205,$T179,'📦 Subscriptions'!$J$6:$J$205,"Active")&gt;1,$U179&gt;0))</f>
        <v>0</v>
      </c>
      <c r="Z179" s="84" t="b">
        <f>IF($S179="","",AND('📦 Subscriptions'!$J168="Active",OR('⚙️ Settings'!$C$7-$V179&gt;='⚙️ Settings'!$C$9,$W179&lt;'⚙️ Settings'!$C$10)))</f>
        <v>0</v>
      </c>
      <c r="AA179" s="84" t="b">
        <f>IF($S179="","",AND('📦 Subscriptions'!$J168="Active",OR($X179="Downgrade",$X179="Switch to Annual")))</f>
        <v>0</v>
      </c>
    </row>
    <row r="180" spans="19:27">
      <c r="S180" s="84">
        <f>'📦 Subscriptions'!$B169</f>
        <v>0</v>
      </c>
      <c r="T180" s="84">
        <f>'📦 Subscriptions'!$C169</f>
        <v>0</v>
      </c>
      <c r="U180" s="8" t="str">
        <f>'📦 Subscriptions'!$G169</f>
        <v/>
      </c>
      <c r="V180" s="5">
        <f>'📦 Subscriptions'!$L169</f>
        <v>0</v>
      </c>
      <c r="W180" s="6">
        <f>'📦 Subscriptions'!$M169</f>
        <v>0</v>
      </c>
      <c r="X180" s="84">
        <f>'📦 Subscriptions'!$N169</f>
        <v>0</v>
      </c>
      <c r="Y180" s="84" t="b">
        <f>IF($S180="","",AND('📦 Subscriptions'!$J169="Active",COUNTIFS('📦 Subscriptions'!$C$6:$C$205,$T180,'📦 Subscriptions'!$J$6:$J$205,"Active")&gt;1,$U180&gt;0))</f>
        <v>0</v>
      </c>
      <c r="Z180" s="84" t="b">
        <f>IF($S180="","",AND('📦 Subscriptions'!$J169="Active",OR('⚙️ Settings'!$C$7-$V180&gt;='⚙️ Settings'!$C$9,$W180&lt;'⚙️ Settings'!$C$10)))</f>
        <v>0</v>
      </c>
      <c r="AA180" s="84" t="b">
        <f>IF($S180="","",AND('📦 Subscriptions'!$J169="Active",OR($X180="Downgrade",$X180="Switch to Annual")))</f>
        <v>0</v>
      </c>
    </row>
    <row r="181" spans="19:27">
      <c r="S181" s="84">
        <f>'📦 Subscriptions'!$B170</f>
        <v>0</v>
      </c>
      <c r="T181" s="84">
        <f>'📦 Subscriptions'!$C170</f>
        <v>0</v>
      </c>
      <c r="U181" s="8" t="str">
        <f>'📦 Subscriptions'!$G170</f>
        <v/>
      </c>
      <c r="V181" s="5">
        <f>'📦 Subscriptions'!$L170</f>
        <v>0</v>
      </c>
      <c r="W181" s="6">
        <f>'📦 Subscriptions'!$M170</f>
        <v>0</v>
      </c>
      <c r="X181" s="84">
        <f>'📦 Subscriptions'!$N170</f>
        <v>0</v>
      </c>
      <c r="Y181" s="84" t="b">
        <f>IF($S181="","",AND('📦 Subscriptions'!$J170="Active",COUNTIFS('📦 Subscriptions'!$C$6:$C$205,$T181,'📦 Subscriptions'!$J$6:$J$205,"Active")&gt;1,$U181&gt;0))</f>
        <v>0</v>
      </c>
      <c r="Z181" s="84" t="b">
        <f>IF($S181="","",AND('📦 Subscriptions'!$J170="Active",OR('⚙️ Settings'!$C$7-$V181&gt;='⚙️ Settings'!$C$9,$W181&lt;'⚙️ Settings'!$C$10)))</f>
        <v>0</v>
      </c>
      <c r="AA181" s="84" t="b">
        <f>IF($S181="","",AND('📦 Subscriptions'!$J170="Active",OR($X181="Downgrade",$X181="Switch to Annual")))</f>
        <v>0</v>
      </c>
    </row>
    <row r="182" spans="19:27">
      <c r="S182" s="84">
        <f>'📦 Subscriptions'!$B171</f>
        <v>0</v>
      </c>
      <c r="T182" s="84">
        <f>'📦 Subscriptions'!$C171</f>
        <v>0</v>
      </c>
      <c r="U182" s="8" t="str">
        <f>'📦 Subscriptions'!$G171</f>
        <v/>
      </c>
      <c r="V182" s="5">
        <f>'📦 Subscriptions'!$L171</f>
        <v>0</v>
      </c>
      <c r="W182" s="6">
        <f>'📦 Subscriptions'!$M171</f>
        <v>0</v>
      </c>
      <c r="X182" s="84">
        <f>'📦 Subscriptions'!$N171</f>
        <v>0</v>
      </c>
      <c r="Y182" s="84" t="b">
        <f>IF($S182="","",AND('📦 Subscriptions'!$J171="Active",COUNTIFS('📦 Subscriptions'!$C$6:$C$205,$T182,'📦 Subscriptions'!$J$6:$J$205,"Active")&gt;1,$U182&gt;0))</f>
        <v>0</v>
      </c>
      <c r="Z182" s="84" t="b">
        <f>IF($S182="","",AND('📦 Subscriptions'!$J171="Active",OR('⚙️ Settings'!$C$7-$V182&gt;='⚙️ Settings'!$C$9,$W182&lt;'⚙️ Settings'!$C$10)))</f>
        <v>0</v>
      </c>
      <c r="AA182" s="84" t="b">
        <f>IF($S182="","",AND('📦 Subscriptions'!$J171="Active",OR($X182="Downgrade",$X182="Switch to Annual")))</f>
        <v>0</v>
      </c>
    </row>
    <row r="183" spans="19:27">
      <c r="S183" s="84">
        <f>'📦 Subscriptions'!$B172</f>
        <v>0</v>
      </c>
      <c r="T183" s="84">
        <f>'📦 Subscriptions'!$C172</f>
        <v>0</v>
      </c>
      <c r="U183" s="8" t="str">
        <f>'📦 Subscriptions'!$G172</f>
        <v/>
      </c>
      <c r="V183" s="5">
        <f>'📦 Subscriptions'!$L172</f>
        <v>0</v>
      </c>
      <c r="W183" s="6">
        <f>'📦 Subscriptions'!$M172</f>
        <v>0</v>
      </c>
      <c r="X183" s="84">
        <f>'📦 Subscriptions'!$N172</f>
        <v>0</v>
      </c>
      <c r="Y183" s="84" t="b">
        <f>IF($S183="","",AND('📦 Subscriptions'!$J172="Active",COUNTIFS('📦 Subscriptions'!$C$6:$C$205,$T183,'📦 Subscriptions'!$J$6:$J$205,"Active")&gt;1,$U183&gt;0))</f>
        <v>0</v>
      </c>
      <c r="Z183" s="84" t="b">
        <f>IF($S183="","",AND('📦 Subscriptions'!$J172="Active",OR('⚙️ Settings'!$C$7-$V183&gt;='⚙️ Settings'!$C$9,$W183&lt;'⚙️ Settings'!$C$10)))</f>
        <v>0</v>
      </c>
      <c r="AA183" s="84" t="b">
        <f>IF($S183="","",AND('📦 Subscriptions'!$J172="Active",OR($X183="Downgrade",$X183="Switch to Annual")))</f>
        <v>0</v>
      </c>
    </row>
    <row r="184" spans="19:27">
      <c r="S184" s="84">
        <f>'📦 Subscriptions'!$B173</f>
        <v>0</v>
      </c>
      <c r="T184" s="84">
        <f>'📦 Subscriptions'!$C173</f>
        <v>0</v>
      </c>
      <c r="U184" s="8" t="str">
        <f>'📦 Subscriptions'!$G173</f>
        <v/>
      </c>
      <c r="V184" s="5">
        <f>'📦 Subscriptions'!$L173</f>
        <v>0</v>
      </c>
      <c r="W184" s="6">
        <f>'📦 Subscriptions'!$M173</f>
        <v>0</v>
      </c>
      <c r="X184" s="84">
        <f>'📦 Subscriptions'!$N173</f>
        <v>0</v>
      </c>
      <c r="Y184" s="84" t="b">
        <f>IF($S184="","",AND('📦 Subscriptions'!$J173="Active",COUNTIFS('📦 Subscriptions'!$C$6:$C$205,$T184,'📦 Subscriptions'!$J$6:$J$205,"Active")&gt;1,$U184&gt;0))</f>
        <v>0</v>
      </c>
      <c r="Z184" s="84" t="b">
        <f>IF($S184="","",AND('📦 Subscriptions'!$J173="Active",OR('⚙️ Settings'!$C$7-$V184&gt;='⚙️ Settings'!$C$9,$W184&lt;'⚙️ Settings'!$C$10)))</f>
        <v>0</v>
      </c>
      <c r="AA184" s="84" t="b">
        <f>IF($S184="","",AND('📦 Subscriptions'!$J173="Active",OR($X184="Downgrade",$X184="Switch to Annual")))</f>
        <v>0</v>
      </c>
    </row>
    <row r="185" spans="19:27">
      <c r="S185" s="84">
        <f>'📦 Subscriptions'!$B174</f>
        <v>0</v>
      </c>
      <c r="T185" s="84">
        <f>'📦 Subscriptions'!$C174</f>
        <v>0</v>
      </c>
      <c r="U185" s="8" t="str">
        <f>'📦 Subscriptions'!$G174</f>
        <v/>
      </c>
      <c r="V185" s="5">
        <f>'📦 Subscriptions'!$L174</f>
        <v>0</v>
      </c>
      <c r="W185" s="6">
        <f>'📦 Subscriptions'!$M174</f>
        <v>0</v>
      </c>
      <c r="X185" s="84">
        <f>'📦 Subscriptions'!$N174</f>
        <v>0</v>
      </c>
      <c r="Y185" s="84" t="b">
        <f>IF($S185="","",AND('📦 Subscriptions'!$J174="Active",COUNTIFS('📦 Subscriptions'!$C$6:$C$205,$T185,'📦 Subscriptions'!$J$6:$J$205,"Active")&gt;1,$U185&gt;0))</f>
        <v>0</v>
      </c>
      <c r="Z185" s="84" t="b">
        <f>IF($S185="","",AND('📦 Subscriptions'!$J174="Active",OR('⚙️ Settings'!$C$7-$V185&gt;='⚙️ Settings'!$C$9,$W185&lt;'⚙️ Settings'!$C$10)))</f>
        <v>0</v>
      </c>
      <c r="AA185" s="84" t="b">
        <f>IF($S185="","",AND('📦 Subscriptions'!$J174="Active",OR($X185="Downgrade",$X185="Switch to Annual")))</f>
        <v>0</v>
      </c>
    </row>
    <row r="186" spans="19:27">
      <c r="S186" s="84">
        <f>'📦 Subscriptions'!$B175</f>
        <v>0</v>
      </c>
      <c r="T186" s="84">
        <f>'📦 Subscriptions'!$C175</f>
        <v>0</v>
      </c>
      <c r="U186" s="8" t="str">
        <f>'📦 Subscriptions'!$G175</f>
        <v/>
      </c>
      <c r="V186" s="5">
        <f>'📦 Subscriptions'!$L175</f>
        <v>0</v>
      </c>
      <c r="W186" s="6">
        <f>'📦 Subscriptions'!$M175</f>
        <v>0</v>
      </c>
      <c r="X186" s="84">
        <f>'📦 Subscriptions'!$N175</f>
        <v>0</v>
      </c>
      <c r="Y186" s="84" t="b">
        <f>IF($S186="","",AND('📦 Subscriptions'!$J175="Active",COUNTIFS('📦 Subscriptions'!$C$6:$C$205,$T186,'📦 Subscriptions'!$J$6:$J$205,"Active")&gt;1,$U186&gt;0))</f>
        <v>0</v>
      </c>
      <c r="Z186" s="84" t="b">
        <f>IF($S186="","",AND('📦 Subscriptions'!$J175="Active",OR('⚙️ Settings'!$C$7-$V186&gt;='⚙️ Settings'!$C$9,$W186&lt;'⚙️ Settings'!$C$10)))</f>
        <v>0</v>
      </c>
      <c r="AA186" s="84" t="b">
        <f>IF($S186="","",AND('📦 Subscriptions'!$J175="Active",OR($X186="Downgrade",$X186="Switch to Annual")))</f>
        <v>0</v>
      </c>
    </row>
    <row r="187" spans="19:27">
      <c r="S187" s="84">
        <f>'📦 Subscriptions'!$B176</f>
        <v>0</v>
      </c>
      <c r="T187" s="84">
        <f>'📦 Subscriptions'!$C176</f>
        <v>0</v>
      </c>
      <c r="U187" s="8" t="str">
        <f>'📦 Subscriptions'!$G176</f>
        <v/>
      </c>
      <c r="V187" s="5">
        <f>'📦 Subscriptions'!$L176</f>
        <v>0</v>
      </c>
      <c r="W187" s="6">
        <f>'📦 Subscriptions'!$M176</f>
        <v>0</v>
      </c>
      <c r="X187" s="84">
        <f>'📦 Subscriptions'!$N176</f>
        <v>0</v>
      </c>
      <c r="Y187" s="84" t="b">
        <f>IF($S187="","",AND('📦 Subscriptions'!$J176="Active",COUNTIFS('📦 Subscriptions'!$C$6:$C$205,$T187,'📦 Subscriptions'!$J$6:$J$205,"Active")&gt;1,$U187&gt;0))</f>
        <v>0</v>
      </c>
      <c r="Z187" s="84" t="b">
        <f>IF($S187="","",AND('📦 Subscriptions'!$J176="Active",OR('⚙️ Settings'!$C$7-$V187&gt;='⚙️ Settings'!$C$9,$W187&lt;'⚙️ Settings'!$C$10)))</f>
        <v>0</v>
      </c>
      <c r="AA187" s="84" t="b">
        <f>IF($S187="","",AND('📦 Subscriptions'!$J176="Active",OR($X187="Downgrade",$X187="Switch to Annual")))</f>
        <v>0</v>
      </c>
    </row>
    <row r="188" spans="19:27">
      <c r="S188" s="84">
        <f>'📦 Subscriptions'!$B177</f>
        <v>0</v>
      </c>
      <c r="T188" s="84">
        <f>'📦 Subscriptions'!$C177</f>
        <v>0</v>
      </c>
      <c r="U188" s="8" t="str">
        <f>'📦 Subscriptions'!$G177</f>
        <v/>
      </c>
      <c r="V188" s="5">
        <f>'📦 Subscriptions'!$L177</f>
        <v>0</v>
      </c>
      <c r="W188" s="6">
        <f>'📦 Subscriptions'!$M177</f>
        <v>0</v>
      </c>
      <c r="X188" s="84">
        <f>'📦 Subscriptions'!$N177</f>
        <v>0</v>
      </c>
      <c r="Y188" s="84" t="b">
        <f>IF($S188="","",AND('📦 Subscriptions'!$J177="Active",COUNTIFS('📦 Subscriptions'!$C$6:$C$205,$T188,'📦 Subscriptions'!$J$6:$J$205,"Active")&gt;1,$U188&gt;0))</f>
        <v>0</v>
      </c>
      <c r="Z188" s="84" t="b">
        <f>IF($S188="","",AND('📦 Subscriptions'!$J177="Active",OR('⚙️ Settings'!$C$7-$V188&gt;='⚙️ Settings'!$C$9,$W188&lt;'⚙️ Settings'!$C$10)))</f>
        <v>0</v>
      </c>
      <c r="AA188" s="84" t="b">
        <f>IF($S188="","",AND('📦 Subscriptions'!$J177="Active",OR($X188="Downgrade",$X188="Switch to Annual")))</f>
        <v>0</v>
      </c>
    </row>
    <row r="189" spans="19:27">
      <c r="S189" s="84">
        <f>'📦 Subscriptions'!$B178</f>
        <v>0</v>
      </c>
      <c r="T189" s="84">
        <f>'📦 Subscriptions'!$C178</f>
        <v>0</v>
      </c>
      <c r="U189" s="8" t="str">
        <f>'📦 Subscriptions'!$G178</f>
        <v/>
      </c>
      <c r="V189" s="5">
        <f>'📦 Subscriptions'!$L178</f>
        <v>0</v>
      </c>
      <c r="W189" s="6">
        <f>'📦 Subscriptions'!$M178</f>
        <v>0</v>
      </c>
      <c r="X189" s="84">
        <f>'📦 Subscriptions'!$N178</f>
        <v>0</v>
      </c>
      <c r="Y189" s="84" t="b">
        <f>IF($S189="","",AND('📦 Subscriptions'!$J178="Active",COUNTIFS('📦 Subscriptions'!$C$6:$C$205,$T189,'📦 Subscriptions'!$J$6:$J$205,"Active")&gt;1,$U189&gt;0))</f>
        <v>0</v>
      </c>
      <c r="Z189" s="84" t="b">
        <f>IF($S189="","",AND('📦 Subscriptions'!$J178="Active",OR('⚙️ Settings'!$C$7-$V189&gt;='⚙️ Settings'!$C$9,$W189&lt;'⚙️ Settings'!$C$10)))</f>
        <v>0</v>
      </c>
      <c r="AA189" s="84" t="b">
        <f>IF($S189="","",AND('📦 Subscriptions'!$J178="Active",OR($X189="Downgrade",$X189="Switch to Annual")))</f>
        <v>0</v>
      </c>
    </row>
    <row r="190" spans="19:27">
      <c r="S190" s="84">
        <f>'📦 Subscriptions'!$B179</f>
        <v>0</v>
      </c>
      <c r="T190" s="84">
        <f>'📦 Subscriptions'!$C179</f>
        <v>0</v>
      </c>
      <c r="U190" s="8" t="str">
        <f>'📦 Subscriptions'!$G179</f>
        <v/>
      </c>
      <c r="V190" s="5">
        <f>'📦 Subscriptions'!$L179</f>
        <v>0</v>
      </c>
      <c r="W190" s="6">
        <f>'📦 Subscriptions'!$M179</f>
        <v>0</v>
      </c>
      <c r="X190" s="84">
        <f>'📦 Subscriptions'!$N179</f>
        <v>0</v>
      </c>
      <c r="Y190" s="84" t="b">
        <f>IF($S190="","",AND('📦 Subscriptions'!$J179="Active",COUNTIFS('📦 Subscriptions'!$C$6:$C$205,$T190,'📦 Subscriptions'!$J$6:$J$205,"Active")&gt;1,$U190&gt;0))</f>
        <v>0</v>
      </c>
      <c r="Z190" s="84" t="b">
        <f>IF($S190="","",AND('📦 Subscriptions'!$J179="Active",OR('⚙️ Settings'!$C$7-$V190&gt;='⚙️ Settings'!$C$9,$W190&lt;'⚙️ Settings'!$C$10)))</f>
        <v>0</v>
      </c>
      <c r="AA190" s="84" t="b">
        <f>IF($S190="","",AND('📦 Subscriptions'!$J179="Active",OR($X190="Downgrade",$X190="Switch to Annual")))</f>
        <v>0</v>
      </c>
    </row>
    <row r="191" spans="19:27">
      <c r="S191" s="84">
        <f>'📦 Subscriptions'!$B180</f>
        <v>0</v>
      </c>
      <c r="T191" s="84">
        <f>'📦 Subscriptions'!$C180</f>
        <v>0</v>
      </c>
      <c r="U191" s="8" t="str">
        <f>'📦 Subscriptions'!$G180</f>
        <v/>
      </c>
      <c r="V191" s="5">
        <f>'📦 Subscriptions'!$L180</f>
        <v>0</v>
      </c>
      <c r="W191" s="6">
        <f>'📦 Subscriptions'!$M180</f>
        <v>0</v>
      </c>
      <c r="X191" s="84">
        <f>'📦 Subscriptions'!$N180</f>
        <v>0</v>
      </c>
      <c r="Y191" s="84" t="b">
        <f>IF($S191="","",AND('📦 Subscriptions'!$J180="Active",COUNTIFS('📦 Subscriptions'!$C$6:$C$205,$T191,'📦 Subscriptions'!$J$6:$J$205,"Active")&gt;1,$U191&gt;0))</f>
        <v>0</v>
      </c>
      <c r="Z191" s="84" t="b">
        <f>IF($S191="","",AND('📦 Subscriptions'!$J180="Active",OR('⚙️ Settings'!$C$7-$V191&gt;='⚙️ Settings'!$C$9,$W191&lt;'⚙️ Settings'!$C$10)))</f>
        <v>0</v>
      </c>
      <c r="AA191" s="84" t="b">
        <f>IF($S191="","",AND('📦 Subscriptions'!$J180="Active",OR($X191="Downgrade",$X191="Switch to Annual")))</f>
        <v>0</v>
      </c>
    </row>
    <row r="192" spans="19:27">
      <c r="S192" s="84">
        <f>'📦 Subscriptions'!$B181</f>
        <v>0</v>
      </c>
      <c r="T192" s="84">
        <f>'📦 Subscriptions'!$C181</f>
        <v>0</v>
      </c>
      <c r="U192" s="8" t="str">
        <f>'📦 Subscriptions'!$G181</f>
        <v/>
      </c>
      <c r="V192" s="5">
        <f>'📦 Subscriptions'!$L181</f>
        <v>0</v>
      </c>
      <c r="W192" s="6">
        <f>'📦 Subscriptions'!$M181</f>
        <v>0</v>
      </c>
      <c r="X192" s="84">
        <f>'📦 Subscriptions'!$N181</f>
        <v>0</v>
      </c>
      <c r="Y192" s="84" t="b">
        <f>IF($S192="","",AND('📦 Subscriptions'!$J181="Active",COUNTIFS('📦 Subscriptions'!$C$6:$C$205,$T192,'📦 Subscriptions'!$J$6:$J$205,"Active")&gt;1,$U192&gt;0))</f>
        <v>0</v>
      </c>
      <c r="Z192" s="84" t="b">
        <f>IF($S192="","",AND('📦 Subscriptions'!$J181="Active",OR('⚙️ Settings'!$C$7-$V192&gt;='⚙️ Settings'!$C$9,$W192&lt;'⚙️ Settings'!$C$10)))</f>
        <v>0</v>
      </c>
      <c r="AA192" s="84" t="b">
        <f>IF($S192="","",AND('📦 Subscriptions'!$J181="Active",OR($X192="Downgrade",$X192="Switch to Annual")))</f>
        <v>0</v>
      </c>
    </row>
    <row r="193" spans="19:27">
      <c r="S193" s="84">
        <f>'📦 Subscriptions'!$B182</f>
        <v>0</v>
      </c>
      <c r="T193" s="84">
        <f>'📦 Subscriptions'!$C182</f>
        <v>0</v>
      </c>
      <c r="U193" s="8" t="str">
        <f>'📦 Subscriptions'!$G182</f>
        <v/>
      </c>
      <c r="V193" s="5">
        <f>'📦 Subscriptions'!$L182</f>
        <v>0</v>
      </c>
      <c r="W193" s="6">
        <f>'📦 Subscriptions'!$M182</f>
        <v>0</v>
      </c>
      <c r="X193" s="84">
        <f>'📦 Subscriptions'!$N182</f>
        <v>0</v>
      </c>
      <c r="Y193" s="84" t="b">
        <f>IF($S193="","",AND('📦 Subscriptions'!$J182="Active",COUNTIFS('📦 Subscriptions'!$C$6:$C$205,$T193,'📦 Subscriptions'!$J$6:$J$205,"Active")&gt;1,$U193&gt;0))</f>
        <v>0</v>
      </c>
      <c r="Z193" s="84" t="b">
        <f>IF($S193="","",AND('📦 Subscriptions'!$J182="Active",OR('⚙️ Settings'!$C$7-$V193&gt;='⚙️ Settings'!$C$9,$W193&lt;'⚙️ Settings'!$C$10)))</f>
        <v>0</v>
      </c>
      <c r="AA193" s="84" t="b">
        <f>IF($S193="","",AND('📦 Subscriptions'!$J182="Active",OR($X193="Downgrade",$X193="Switch to Annual")))</f>
        <v>0</v>
      </c>
    </row>
    <row r="194" spans="19:27">
      <c r="S194" s="84">
        <f>'📦 Subscriptions'!$B183</f>
        <v>0</v>
      </c>
      <c r="T194" s="84">
        <f>'📦 Subscriptions'!$C183</f>
        <v>0</v>
      </c>
      <c r="U194" s="8" t="str">
        <f>'📦 Subscriptions'!$G183</f>
        <v/>
      </c>
      <c r="V194" s="5">
        <f>'📦 Subscriptions'!$L183</f>
        <v>0</v>
      </c>
      <c r="W194" s="6">
        <f>'📦 Subscriptions'!$M183</f>
        <v>0</v>
      </c>
      <c r="X194" s="84">
        <f>'📦 Subscriptions'!$N183</f>
        <v>0</v>
      </c>
      <c r="Y194" s="84" t="b">
        <f>IF($S194="","",AND('📦 Subscriptions'!$J183="Active",COUNTIFS('📦 Subscriptions'!$C$6:$C$205,$T194,'📦 Subscriptions'!$J$6:$J$205,"Active")&gt;1,$U194&gt;0))</f>
        <v>0</v>
      </c>
      <c r="Z194" s="84" t="b">
        <f>IF($S194="","",AND('📦 Subscriptions'!$J183="Active",OR('⚙️ Settings'!$C$7-$V194&gt;='⚙️ Settings'!$C$9,$W194&lt;'⚙️ Settings'!$C$10)))</f>
        <v>0</v>
      </c>
      <c r="AA194" s="84" t="b">
        <f>IF($S194="","",AND('📦 Subscriptions'!$J183="Active",OR($X194="Downgrade",$X194="Switch to Annual")))</f>
        <v>0</v>
      </c>
    </row>
    <row r="195" spans="19:27">
      <c r="S195" s="84">
        <f>'📦 Subscriptions'!$B184</f>
        <v>0</v>
      </c>
      <c r="T195" s="84">
        <f>'📦 Subscriptions'!$C184</f>
        <v>0</v>
      </c>
      <c r="U195" s="8" t="str">
        <f>'📦 Subscriptions'!$G184</f>
        <v/>
      </c>
      <c r="V195" s="5">
        <f>'📦 Subscriptions'!$L184</f>
        <v>0</v>
      </c>
      <c r="W195" s="6">
        <f>'📦 Subscriptions'!$M184</f>
        <v>0</v>
      </c>
      <c r="X195" s="84">
        <f>'📦 Subscriptions'!$N184</f>
        <v>0</v>
      </c>
      <c r="Y195" s="84" t="b">
        <f>IF($S195="","",AND('📦 Subscriptions'!$J184="Active",COUNTIFS('📦 Subscriptions'!$C$6:$C$205,$T195,'📦 Subscriptions'!$J$6:$J$205,"Active")&gt;1,$U195&gt;0))</f>
        <v>0</v>
      </c>
      <c r="Z195" s="84" t="b">
        <f>IF($S195="","",AND('📦 Subscriptions'!$J184="Active",OR('⚙️ Settings'!$C$7-$V195&gt;='⚙️ Settings'!$C$9,$W195&lt;'⚙️ Settings'!$C$10)))</f>
        <v>0</v>
      </c>
      <c r="AA195" s="84" t="b">
        <f>IF($S195="","",AND('📦 Subscriptions'!$J184="Active",OR($X195="Downgrade",$X195="Switch to Annual")))</f>
        <v>0</v>
      </c>
    </row>
    <row r="196" spans="19:27">
      <c r="S196" s="84">
        <f>'📦 Subscriptions'!$B185</f>
        <v>0</v>
      </c>
      <c r="T196" s="84">
        <f>'📦 Subscriptions'!$C185</f>
        <v>0</v>
      </c>
      <c r="U196" s="8" t="str">
        <f>'📦 Subscriptions'!$G185</f>
        <v/>
      </c>
      <c r="V196" s="5">
        <f>'📦 Subscriptions'!$L185</f>
        <v>0</v>
      </c>
      <c r="W196" s="6">
        <f>'📦 Subscriptions'!$M185</f>
        <v>0</v>
      </c>
      <c r="X196" s="84">
        <f>'📦 Subscriptions'!$N185</f>
        <v>0</v>
      </c>
      <c r="Y196" s="84" t="b">
        <f>IF($S196="","",AND('📦 Subscriptions'!$J185="Active",COUNTIFS('📦 Subscriptions'!$C$6:$C$205,$T196,'📦 Subscriptions'!$J$6:$J$205,"Active")&gt;1,$U196&gt;0))</f>
        <v>0</v>
      </c>
      <c r="Z196" s="84" t="b">
        <f>IF($S196="","",AND('📦 Subscriptions'!$J185="Active",OR('⚙️ Settings'!$C$7-$V196&gt;='⚙️ Settings'!$C$9,$W196&lt;'⚙️ Settings'!$C$10)))</f>
        <v>0</v>
      </c>
      <c r="AA196" s="84" t="b">
        <f>IF($S196="","",AND('📦 Subscriptions'!$J185="Active",OR($X196="Downgrade",$X196="Switch to Annual")))</f>
        <v>0</v>
      </c>
    </row>
    <row r="197" spans="19:27">
      <c r="S197" s="84">
        <f>'📦 Subscriptions'!$B186</f>
        <v>0</v>
      </c>
      <c r="T197" s="84">
        <f>'📦 Subscriptions'!$C186</f>
        <v>0</v>
      </c>
      <c r="U197" s="8" t="str">
        <f>'📦 Subscriptions'!$G186</f>
        <v/>
      </c>
      <c r="V197" s="5">
        <f>'📦 Subscriptions'!$L186</f>
        <v>0</v>
      </c>
      <c r="W197" s="6">
        <f>'📦 Subscriptions'!$M186</f>
        <v>0</v>
      </c>
      <c r="X197" s="84">
        <f>'📦 Subscriptions'!$N186</f>
        <v>0</v>
      </c>
      <c r="Y197" s="84" t="b">
        <f>IF($S197="","",AND('📦 Subscriptions'!$J186="Active",COUNTIFS('📦 Subscriptions'!$C$6:$C$205,$T197,'📦 Subscriptions'!$J$6:$J$205,"Active")&gt;1,$U197&gt;0))</f>
        <v>0</v>
      </c>
      <c r="Z197" s="84" t="b">
        <f>IF($S197="","",AND('📦 Subscriptions'!$J186="Active",OR('⚙️ Settings'!$C$7-$V197&gt;='⚙️ Settings'!$C$9,$W197&lt;'⚙️ Settings'!$C$10)))</f>
        <v>0</v>
      </c>
      <c r="AA197" s="84" t="b">
        <f>IF($S197="","",AND('📦 Subscriptions'!$J186="Active",OR($X197="Downgrade",$X197="Switch to Annual")))</f>
        <v>0</v>
      </c>
    </row>
    <row r="198" spans="19:27">
      <c r="S198" s="84">
        <f>'📦 Subscriptions'!$B187</f>
        <v>0</v>
      </c>
      <c r="T198" s="84">
        <f>'📦 Subscriptions'!$C187</f>
        <v>0</v>
      </c>
      <c r="U198" s="8" t="str">
        <f>'📦 Subscriptions'!$G187</f>
        <v/>
      </c>
      <c r="V198" s="5">
        <f>'📦 Subscriptions'!$L187</f>
        <v>0</v>
      </c>
      <c r="W198" s="6">
        <f>'📦 Subscriptions'!$M187</f>
        <v>0</v>
      </c>
      <c r="X198" s="84">
        <f>'📦 Subscriptions'!$N187</f>
        <v>0</v>
      </c>
      <c r="Y198" s="84" t="b">
        <f>IF($S198="","",AND('📦 Subscriptions'!$J187="Active",COUNTIFS('📦 Subscriptions'!$C$6:$C$205,$T198,'📦 Subscriptions'!$J$6:$J$205,"Active")&gt;1,$U198&gt;0))</f>
        <v>0</v>
      </c>
      <c r="Z198" s="84" t="b">
        <f>IF($S198="","",AND('📦 Subscriptions'!$J187="Active",OR('⚙️ Settings'!$C$7-$V198&gt;='⚙️ Settings'!$C$9,$W198&lt;'⚙️ Settings'!$C$10)))</f>
        <v>0</v>
      </c>
      <c r="AA198" s="84" t="b">
        <f>IF($S198="","",AND('📦 Subscriptions'!$J187="Active",OR($X198="Downgrade",$X198="Switch to Annual")))</f>
        <v>0</v>
      </c>
    </row>
    <row r="199" spans="19:27">
      <c r="S199" s="84">
        <f>'📦 Subscriptions'!$B188</f>
        <v>0</v>
      </c>
      <c r="T199" s="84">
        <f>'📦 Subscriptions'!$C188</f>
        <v>0</v>
      </c>
      <c r="U199" s="8" t="str">
        <f>'📦 Subscriptions'!$G188</f>
        <v/>
      </c>
      <c r="V199" s="5">
        <f>'📦 Subscriptions'!$L188</f>
        <v>0</v>
      </c>
      <c r="W199" s="6">
        <f>'📦 Subscriptions'!$M188</f>
        <v>0</v>
      </c>
      <c r="X199" s="84">
        <f>'📦 Subscriptions'!$N188</f>
        <v>0</v>
      </c>
      <c r="Y199" s="84" t="b">
        <f>IF($S199="","",AND('📦 Subscriptions'!$J188="Active",COUNTIFS('📦 Subscriptions'!$C$6:$C$205,$T199,'📦 Subscriptions'!$J$6:$J$205,"Active")&gt;1,$U199&gt;0))</f>
        <v>0</v>
      </c>
      <c r="Z199" s="84" t="b">
        <f>IF($S199="","",AND('📦 Subscriptions'!$J188="Active",OR('⚙️ Settings'!$C$7-$V199&gt;='⚙️ Settings'!$C$9,$W199&lt;'⚙️ Settings'!$C$10)))</f>
        <v>0</v>
      </c>
      <c r="AA199" s="84" t="b">
        <f>IF($S199="","",AND('📦 Subscriptions'!$J188="Active",OR($X199="Downgrade",$X199="Switch to Annual")))</f>
        <v>0</v>
      </c>
    </row>
    <row r="200" spans="19:27">
      <c r="S200" s="84">
        <f>'📦 Subscriptions'!$B189</f>
        <v>0</v>
      </c>
      <c r="T200" s="84">
        <f>'📦 Subscriptions'!$C189</f>
        <v>0</v>
      </c>
      <c r="U200" s="8" t="str">
        <f>'📦 Subscriptions'!$G189</f>
        <v/>
      </c>
      <c r="V200" s="5">
        <f>'📦 Subscriptions'!$L189</f>
        <v>0</v>
      </c>
      <c r="W200" s="6">
        <f>'📦 Subscriptions'!$M189</f>
        <v>0</v>
      </c>
      <c r="X200" s="84">
        <f>'📦 Subscriptions'!$N189</f>
        <v>0</v>
      </c>
      <c r="Y200" s="84" t="b">
        <f>IF($S200="","",AND('📦 Subscriptions'!$J189="Active",COUNTIFS('📦 Subscriptions'!$C$6:$C$205,$T200,'📦 Subscriptions'!$J$6:$J$205,"Active")&gt;1,$U200&gt;0))</f>
        <v>0</v>
      </c>
      <c r="Z200" s="84" t="b">
        <f>IF($S200="","",AND('📦 Subscriptions'!$J189="Active",OR('⚙️ Settings'!$C$7-$V200&gt;='⚙️ Settings'!$C$9,$W200&lt;'⚙️ Settings'!$C$10)))</f>
        <v>0</v>
      </c>
      <c r="AA200" s="84" t="b">
        <f>IF($S200="","",AND('📦 Subscriptions'!$J189="Active",OR($X200="Downgrade",$X200="Switch to Annual")))</f>
        <v>0</v>
      </c>
    </row>
    <row r="201" spans="19:27">
      <c r="S201" s="84">
        <f>'📦 Subscriptions'!$B190</f>
        <v>0</v>
      </c>
      <c r="T201" s="84">
        <f>'📦 Subscriptions'!$C190</f>
        <v>0</v>
      </c>
      <c r="U201" s="8" t="str">
        <f>'📦 Subscriptions'!$G190</f>
        <v/>
      </c>
      <c r="V201" s="5">
        <f>'📦 Subscriptions'!$L190</f>
        <v>0</v>
      </c>
      <c r="W201" s="6">
        <f>'📦 Subscriptions'!$M190</f>
        <v>0</v>
      </c>
      <c r="X201" s="84">
        <f>'📦 Subscriptions'!$N190</f>
        <v>0</v>
      </c>
      <c r="Y201" s="84" t="b">
        <f>IF($S201="","",AND('📦 Subscriptions'!$J190="Active",COUNTIFS('📦 Subscriptions'!$C$6:$C$205,$T201,'📦 Subscriptions'!$J$6:$J$205,"Active")&gt;1,$U201&gt;0))</f>
        <v>0</v>
      </c>
      <c r="Z201" s="84" t="b">
        <f>IF($S201="","",AND('📦 Subscriptions'!$J190="Active",OR('⚙️ Settings'!$C$7-$V201&gt;='⚙️ Settings'!$C$9,$W201&lt;'⚙️ Settings'!$C$10)))</f>
        <v>0</v>
      </c>
      <c r="AA201" s="84" t="b">
        <f>IF($S201="","",AND('📦 Subscriptions'!$J190="Active",OR($X201="Downgrade",$X201="Switch to Annual")))</f>
        <v>0</v>
      </c>
    </row>
    <row r="202" spans="19:27">
      <c r="S202" s="84">
        <f>'📦 Subscriptions'!$B191</f>
        <v>0</v>
      </c>
      <c r="T202" s="84">
        <f>'📦 Subscriptions'!$C191</f>
        <v>0</v>
      </c>
      <c r="U202" s="8" t="str">
        <f>'📦 Subscriptions'!$G191</f>
        <v/>
      </c>
      <c r="V202" s="5">
        <f>'📦 Subscriptions'!$L191</f>
        <v>0</v>
      </c>
      <c r="W202" s="6">
        <f>'📦 Subscriptions'!$M191</f>
        <v>0</v>
      </c>
      <c r="X202" s="84">
        <f>'📦 Subscriptions'!$N191</f>
        <v>0</v>
      </c>
      <c r="Y202" s="84" t="b">
        <f>IF($S202="","",AND('📦 Subscriptions'!$J191="Active",COUNTIFS('📦 Subscriptions'!$C$6:$C$205,$T202,'📦 Subscriptions'!$J$6:$J$205,"Active")&gt;1,$U202&gt;0))</f>
        <v>0</v>
      </c>
      <c r="Z202" s="84" t="b">
        <f>IF($S202="","",AND('📦 Subscriptions'!$J191="Active",OR('⚙️ Settings'!$C$7-$V202&gt;='⚙️ Settings'!$C$9,$W202&lt;'⚙️ Settings'!$C$10)))</f>
        <v>0</v>
      </c>
      <c r="AA202" s="84" t="b">
        <f>IF($S202="","",AND('📦 Subscriptions'!$J191="Active",OR($X202="Downgrade",$X202="Switch to Annual")))</f>
        <v>0</v>
      </c>
    </row>
    <row r="203" spans="19:27">
      <c r="S203" s="84">
        <f>'📦 Subscriptions'!$B192</f>
        <v>0</v>
      </c>
      <c r="T203" s="84">
        <f>'📦 Subscriptions'!$C192</f>
        <v>0</v>
      </c>
      <c r="U203" s="8" t="str">
        <f>'📦 Subscriptions'!$G192</f>
        <v/>
      </c>
      <c r="V203" s="5">
        <f>'📦 Subscriptions'!$L192</f>
        <v>0</v>
      </c>
      <c r="W203" s="6">
        <f>'📦 Subscriptions'!$M192</f>
        <v>0</v>
      </c>
      <c r="X203" s="84">
        <f>'📦 Subscriptions'!$N192</f>
        <v>0</v>
      </c>
      <c r="Y203" s="84" t="b">
        <f>IF($S203="","",AND('📦 Subscriptions'!$J192="Active",COUNTIFS('📦 Subscriptions'!$C$6:$C$205,$T203,'📦 Subscriptions'!$J$6:$J$205,"Active")&gt;1,$U203&gt;0))</f>
        <v>0</v>
      </c>
      <c r="Z203" s="84" t="b">
        <f>IF($S203="","",AND('📦 Subscriptions'!$J192="Active",OR('⚙️ Settings'!$C$7-$V203&gt;='⚙️ Settings'!$C$9,$W203&lt;'⚙️ Settings'!$C$10)))</f>
        <v>0</v>
      </c>
      <c r="AA203" s="84" t="b">
        <f>IF($S203="","",AND('📦 Subscriptions'!$J192="Active",OR($X203="Downgrade",$X203="Switch to Annual")))</f>
        <v>0</v>
      </c>
    </row>
    <row r="204" spans="19:27">
      <c r="S204" s="84">
        <f>'📦 Subscriptions'!$B193</f>
        <v>0</v>
      </c>
      <c r="T204" s="84">
        <f>'📦 Subscriptions'!$C193</f>
        <v>0</v>
      </c>
      <c r="U204" s="8" t="str">
        <f>'📦 Subscriptions'!$G193</f>
        <v/>
      </c>
      <c r="V204" s="5">
        <f>'📦 Subscriptions'!$L193</f>
        <v>0</v>
      </c>
      <c r="W204" s="6">
        <f>'📦 Subscriptions'!$M193</f>
        <v>0</v>
      </c>
      <c r="X204" s="84">
        <f>'📦 Subscriptions'!$N193</f>
        <v>0</v>
      </c>
      <c r="Y204" s="84" t="b">
        <f>IF($S204="","",AND('📦 Subscriptions'!$J193="Active",COUNTIFS('📦 Subscriptions'!$C$6:$C$205,$T204,'📦 Subscriptions'!$J$6:$J$205,"Active")&gt;1,$U204&gt;0))</f>
        <v>0</v>
      </c>
      <c r="Z204" s="84" t="b">
        <f>IF($S204="","",AND('📦 Subscriptions'!$J193="Active",OR('⚙️ Settings'!$C$7-$V204&gt;='⚙️ Settings'!$C$9,$W204&lt;'⚙️ Settings'!$C$10)))</f>
        <v>0</v>
      </c>
      <c r="AA204" s="84" t="b">
        <f>IF($S204="","",AND('📦 Subscriptions'!$J193="Active",OR($X204="Downgrade",$X204="Switch to Annual")))</f>
        <v>0</v>
      </c>
    </row>
    <row r="205" spans="19:27">
      <c r="S205" s="84">
        <f>'📦 Subscriptions'!$B194</f>
        <v>0</v>
      </c>
      <c r="T205" s="84">
        <f>'📦 Subscriptions'!$C194</f>
        <v>0</v>
      </c>
      <c r="U205" s="8" t="str">
        <f>'📦 Subscriptions'!$G194</f>
        <v/>
      </c>
      <c r="V205" s="5">
        <f>'📦 Subscriptions'!$L194</f>
        <v>0</v>
      </c>
      <c r="W205" s="6">
        <f>'📦 Subscriptions'!$M194</f>
        <v>0</v>
      </c>
      <c r="X205" s="84">
        <f>'📦 Subscriptions'!$N194</f>
        <v>0</v>
      </c>
      <c r="Y205" s="84" t="b">
        <f>IF($S205="","",AND('📦 Subscriptions'!$J194="Active",COUNTIFS('📦 Subscriptions'!$C$6:$C$205,$T205,'📦 Subscriptions'!$J$6:$J$205,"Active")&gt;1,$U205&gt;0))</f>
        <v>0</v>
      </c>
      <c r="Z205" s="84" t="b">
        <f>IF($S205="","",AND('📦 Subscriptions'!$J194="Active",OR('⚙️ Settings'!$C$7-$V205&gt;='⚙️ Settings'!$C$9,$W205&lt;'⚙️ Settings'!$C$10)))</f>
        <v>0</v>
      </c>
      <c r="AA205" s="84" t="b">
        <f>IF($S205="","",AND('📦 Subscriptions'!$J194="Active",OR($X205="Downgrade",$X205="Switch to Annual")))</f>
        <v>0</v>
      </c>
    </row>
    <row r="206" spans="19:27">
      <c r="S206" s="84">
        <f>'📦 Subscriptions'!$B195</f>
        <v>0</v>
      </c>
      <c r="T206" s="84">
        <f>'📦 Subscriptions'!$C195</f>
        <v>0</v>
      </c>
      <c r="U206" s="8" t="str">
        <f>'📦 Subscriptions'!$G195</f>
        <v/>
      </c>
      <c r="V206" s="5">
        <f>'📦 Subscriptions'!$L195</f>
        <v>0</v>
      </c>
      <c r="W206" s="6">
        <f>'📦 Subscriptions'!$M195</f>
        <v>0</v>
      </c>
      <c r="X206" s="84">
        <f>'📦 Subscriptions'!$N195</f>
        <v>0</v>
      </c>
      <c r="Y206" s="84" t="b">
        <f>IF($S206="","",AND('📦 Subscriptions'!$J195="Active",COUNTIFS('📦 Subscriptions'!$C$6:$C$205,$T206,'📦 Subscriptions'!$J$6:$J$205,"Active")&gt;1,$U206&gt;0))</f>
        <v>0</v>
      </c>
      <c r="Z206" s="84" t="b">
        <f>IF($S206="","",AND('📦 Subscriptions'!$J195="Active",OR('⚙️ Settings'!$C$7-$V206&gt;='⚙️ Settings'!$C$9,$W206&lt;'⚙️ Settings'!$C$10)))</f>
        <v>0</v>
      </c>
      <c r="AA206" s="84" t="b">
        <f>IF($S206="","",AND('📦 Subscriptions'!$J195="Active",OR($X206="Downgrade",$X206="Switch to Annual")))</f>
        <v>0</v>
      </c>
    </row>
    <row r="207" spans="19:27">
      <c r="S207" s="84">
        <f>'📦 Subscriptions'!$B196</f>
        <v>0</v>
      </c>
      <c r="T207" s="84">
        <f>'📦 Subscriptions'!$C196</f>
        <v>0</v>
      </c>
      <c r="U207" s="8" t="str">
        <f>'📦 Subscriptions'!$G196</f>
        <v/>
      </c>
      <c r="V207" s="5">
        <f>'📦 Subscriptions'!$L196</f>
        <v>0</v>
      </c>
      <c r="W207" s="6">
        <f>'📦 Subscriptions'!$M196</f>
        <v>0</v>
      </c>
      <c r="X207" s="84">
        <f>'📦 Subscriptions'!$N196</f>
        <v>0</v>
      </c>
      <c r="Y207" s="84" t="b">
        <f>IF($S207="","",AND('📦 Subscriptions'!$J196="Active",COUNTIFS('📦 Subscriptions'!$C$6:$C$205,$T207,'📦 Subscriptions'!$J$6:$J$205,"Active")&gt;1,$U207&gt;0))</f>
        <v>0</v>
      </c>
      <c r="Z207" s="84" t="b">
        <f>IF($S207="","",AND('📦 Subscriptions'!$J196="Active",OR('⚙️ Settings'!$C$7-$V207&gt;='⚙️ Settings'!$C$9,$W207&lt;'⚙️ Settings'!$C$10)))</f>
        <v>0</v>
      </c>
      <c r="AA207" s="84" t="b">
        <f>IF($S207="","",AND('📦 Subscriptions'!$J196="Active",OR($X207="Downgrade",$X207="Switch to Annual")))</f>
        <v>0</v>
      </c>
    </row>
    <row r="208" spans="19:27">
      <c r="S208" s="84">
        <f>'📦 Subscriptions'!$B197</f>
        <v>0</v>
      </c>
      <c r="T208" s="84">
        <f>'📦 Subscriptions'!$C197</f>
        <v>0</v>
      </c>
      <c r="U208" s="8" t="str">
        <f>'📦 Subscriptions'!$G197</f>
        <v/>
      </c>
      <c r="V208" s="5">
        <f>'📦 Subscriptions'!$L197</f>
        <v>0</v>
      </c>
      <c r="W208" s="6">
        <f>'📦 Subscriptions'!$M197</f>
        <v>0</v>
      </c>
      <c r="X208" s="84">
        <f>'📦 Subscriptions'!$N197</f>
        <v>0</v>
      </c>
      <c r="Y208" s="84" t="b">
        <f>IF($S208="","",AND('📦 Subscriptions'!$J197="Active",COUNTIFS('📦 Subscriptions'!$C$6:$C$205,$T208,'📦 Subscriptions'!$J$6:$J$205,"Active")&gt;1,$U208&gt;0))</f>
        <v>0</v>
      </c>
      <c r="Z208" s="84" t="b">
        <f>IF($S208="","",AND('📦 Subscriptions'!$J197="Active",OR('⚙️ Settings'!$C$7-$V208&gt;='⚙️ Settings'!$C$9,$W208&lt;'⚙️ Settings'!$C$10)))</f>
        <v>0</v>
      </c>
      <c r="AA208" s="84" t="b">
        <f>IF($S208="","",AND('📦 Subscriptions'!$J197="Active",OR($X208="Downgrade",$X208="Switch to Annual")))</f>
        <v>0</v>
      </c>
    </row>
    <row r="209" spans="19:27">
      <c r="S209" s="84">
        <f>'📦 Subscriptions'!$B198</f>
        <v>0</v>
      </c>
      <c r="T209" s="84">
        <f>'📦 Subscriptions'!$C198</f>
        <v>0</v>
      </c>
      <c r="U209" s="8" t="str">
        <f>'📦 Subscriptions'!$G198</f>
        <v/>
      </c>
      <c r="V209" s="5">
        <f>'📦 Subscriptions'!$L198</f>
        <v>0</v>
      </c>
      <c r="W209" s="6">
        <f>'📦 Subscriptions'!$M198</f>
        <v>0</v>
      </c>
      <c r="X209" s="84">
        <f>'📦 Subscriptions'!$N198</f>
        <v>0</v>
      </c>
      <c r="Y209" s="84" t="b">
        <f>IF($S209="","",AND('📦 Subscriptions'!$J198="Active",COUNTIFS('📦 Subscriptions'!$C$6:$C$205,$T209,'📦 Subscriptions'!$J$6:$J$205,"Active")&gt;1,$U209&gt;0))</f>
        <v>0</v>
      </c>
      <c r="Z209" s="84" t="b">
        <f>IF($S209="","",AND('📦 Subscriptions'!$J198="Active",OR('⚙️ Settings'!$C$7-$V209&gt;='⚙️ Settings'!$C$9,$W209&lt;'⚙️ Settings'!$C$10)))</f>
        <v>0</v>
      </c>
      <c r="AA209" s="84" t="b">
        <f>IF($S209="","",AND('📦 Subscriptions'!$J198="Active",OR($X209="Downgrade",$X209="Switch to Annual")))</f>
        <v>0</v>
      </c>
    </row>
    <row r="210" spans="19:27">
      <c r="S210" s="84">
        <f>'📦 Subscriptions'!$B199</f>
        <v>0</v>
      </c>
      <c r="T210" s="84">
        <f>'📦 Subscriptions'!$C199</f>
        <v>0</v>
      </c>
      <c r="U210" s="8" t="str">
        <f>'📦 Subscriptions'!$G199</f>
        <v/>
      </c>
      <c r="V210" s="5">
        <f>'📦 Subscriptions'!$L199</f>
        <v>0</v>
      </c>
      <c r="W210" s="6">
        <f>'📦 Subscriptions'!$M199</f>
        <v>0</v>
      </c>
      <c r="X210" s="84">
        <f>'📦 Subscriptions'!$N199</f>
        <v>0</v>
      </c>
      <c r="Y210" s="84" t="b">
        <f>IF($S210="","",AND('📦 Subscriptions'!$J199="Active",COUNTIFS('📦 Subscriptions'!$C$6:$C$205,$T210,'📦 Subscriptions'!$J$6:$J$205,"Active")&gt;1,$U210&gt;0))</f>
        <v>0</v>
      </c>
      <c r="Z210" s="84" t="b">
        <f>IF($S210="","",AND('📦 Subscriptions'!$J199="Active",OR('⚙️ Settings'!$C$7-$V210&gt;='⚙️ Settings'!$C$9,$W210&lt;'⚙️ Settings'!$C$10)))</f>
        <v>0</v>
      </c>
      <c r="AA210" s="84" t="b">
        <f>IF($S210="","",AND('📦 Subscriptions'!$J199="Active",OR($X210="Downgrade",$X210="Switch to Annual")))</f>
        <v>0</v>
      </c>
    </row>
    <row r="211" spans="19:27">
      <c r="S211" s="84">
        <f>'📦 Subscriptions'!$B200</f>
        <v>0</v>
      </c>
      <c r="T211" s="84">
        <f>'📦 Subscriptions'!$C200</f>
        <v>0</v>
      </c>
      <c r="U211" s="8" t="str">
        <f>'📦 Subscriptions'!$G200</f>
        <v/>
      </c>
      <c r="V211" s="5">
        <f>'📦 Subscriptions'!$L200</f>
        <v>0</v>
      </c>
      <c r="W211" s="6">
        <f>'📦 Subscriptions'!$M200</f>
        <v>0</v>
      </c>
      <c r="X211" s="84">
        <f>'📦 Subscriptions'!$N200</f>
        <v>0</v>
      </c>
      <c r="Y211" s="84" t="b">
        <f>IF($S211="","",AND('📦 Subscriptions'!$J200="Active",COUNTIFS('📦 Subscriptions'!$C$6:$C$205,$T211,'📦 Subscriptions'!$J$6:$J$205,"Active")&gt;1,$U211&gt;0))</f>
        <v>0</v>
      </c>
      <c r="Z211" s="84" t="b">
        <f>IF($S211="","",AND('📦 Subscriptions'!$J200="Active",OR('⚙️ Settings'!$C$7-$V211&gt;='⚙️ Settings'!$C$9,$W211&lt;'⚙️ Settings'!$C$10)))</f>
        <v>0</v>
      </c>
      <c r="AA211" s="84" t="b">
        <f>IF($S211="","",AND('📦 Subscriptions'!$J200="Active",OR($X211="Downgrade",$X211="Switch to Annual")))</f>
        <v>0</v>
      </c>
    </row>
    <row r="212" spans="19:27">
      <c r="S212" s="84">
        <f>'📦 Subscriptions'!$B201</f>
        <v>0</v>
      </c>
      <c r="T212" s="84">
        <f>'📦 Subscriptions'!$C201</f>
        <v>0</v>
      </c>
      <c r="U212" s="8" t="str">
        <f>'📦 Subscriptions'!$G201</f>
        <v/>
      </c>
      <c r="V212" s="5">
        <f>'📦 Subscriptions'!$L201</f>
        <v>0</v>
      </c>
      <c r="W212" s="6">
        <f>'📦 Subscriptions'!$M201</f>
        <v>0</v>
      </c>
      <c r="X212" s="84">
        <f>'📦 Subscriptions'!$N201</f>
        <v>0</v>
      </c>
      <c r="Y212" s="84" t="b">
        <f>IF($S212="","",AND('📦 Subscriptions'!$J201="Active",COUNTIFS('📦 Subscriptions'!$C$6:$C$205,$T212,'📦 Subscriptions'!$J$6:$J$205,"Active")&gt;1,$U212&gt;0))</f>
        <v>0</v>
      </c>
      <c r="Z212" s="84" t="b">
        <f>IF($S212="","",AND('📦 Subscriptions'!$J201="Active",OR('⚙️ Settings'!$C$7-$V212&gt;='⚙️ Settings'!$C$9,$W212&lt;'⚙️ Settings'!$C$10)))</f>
        <v>0</v>
      </c>
      <c r="AA212" s="84" t="b">
        <f>IF($S212="","",AND('📦 Subscriptions'!$J201="Active",OR($X212="Downgrade",$X212="Switch to Annual")))</f>
        <v>0</v>
      </c>
    </row>
    <row r="213" spans="19:27">
      <c r="S213" s="84">
        <f>'📦 Subscriptions'!$B202</f>
        <v>0</v>
      </c>
      <c r="T213" s="84">
        <f>'📦 Subscriptions'!$C202</f>
        <v>0</v>
      </c>
      <c r="U213" s="8" t="str">
        <f>'📦 Subscriptions'!$G202</f>
        <v/>
      </c>
      <c r="V213" s="5">
        <f>'📦 Subscriptions'!$L202</f>
        <v>0</v>
      </c>
      <c r="W213" s="6">
        <f>'📦 Subscriptions'!$M202</f>
        <v>0</v>
      </c>
      <c r="X213" s="84">
        <f>'📦 Subscriptions'!$N202</f>
        <v>0</v>
      </c>
      <c r="Y213" s="84" t="b">
        <f>IF($S213="","",AND('📦 Subscriptions'!$J202="Active",COUNTIFS('📦 Subscriptions'!$C$6:$C$205,$T213,'📦 Subscriptions'!$J$6:$J$205,"Active")&gt;1,$U213&gt;0))</f>
        <v>0</v>
      </c>
      <c r="Z213" s="84" t="b">
        <f>IF($S213="","",AND('📦 Subscriptions'!$J202="Active",OR('⚙️ Settings'!$C$7-$V213&gt;='⚙️ Settings'!$C$9,$W213&lt;'⚙️ Settings'!$C$10)))</f>
        <v>0</v>
      </c>
      <c r="AA213" s="84" t="b">
        <f>IF($S213="","",AND('📦 Subscriptions'!$J202="Active",OR($X213="Downgrade",$X213="Switch to Annual")))</f>
        <v>0</v>
      </c>
    </row>
    <row r="214" spans="19:27">
      <c r="S214" s="84">
        <f>'📦 Subscriptions'!$B203</f>
        <v>0</v>
      </c>
      <c r="T214" s="84">
        <f>'📦 Subscriptions'!$C203</f>
        <v>0</v>
      </c>
      <c r="U214" s="8" t="str">
        <f>'📦 Subscriptions'!$G203</f>
        <v/>
      </c>
      <c r="V214" s="5">
        <f>'📦 Subscriptions'!$L203</f>
        <v>0</v>
      </c>
      <c r="W214" s="6">
        <f>'📦 Subscriptions'!$M203</f>
        <v>0</v>
      </c>
      <c r="X214" s="84">
        <f>'📦 Subscriptions'!$N203</f>
        <v>0</v>
      </c>
      <c r="Y214" s="84" t="b">
        <f>IF($S214="","",AND('📦 Subscriptions'!$J203="Active",COUNTIFS('📦 Subscriptions'!$C$6:$C$205,$T214,'📦 Subscriptions'!$J$6:$J$205,"Active")&gt;1,$U214&gt;0))</f>
        <v>0</v>
      </c>
      <c r="Z214" s="84" t="b">
        <f>IF($S214="","",AND('📦 Subscriptions'!$J203="Active",OR('⚙️ Settings'!$C$7-$V214&gt;='⚙️ Settings'!$C$9,$W214&lt;'⚙️ Settings'!$C$10)))</f>
        <v>0</v>
      </c>
      <c r="AA214" s="84" t="b">
        <f>IF($S214="","",AND('📦 Subscriptions'!$J203="Active",OR($X214="Downgrade",$X214="Switch to Annual")))</f>
        <v>0</v>
      </c>
    </row>
    <row r="215" spans="19:27">
      <c r="S215" s="84">
        <f>'📦 Subscriptions'!$B204</f>
        <v>0</v>
      </c>
      <c r="T215" s="84">
        <f>'📦 Subscriptions'!$C204</f>
        <v>0</v>
      </c>
      <c r="U215" s="8" t="str">
        <f>'📦 Subscriptions'!$G204</f>
        <v/>
      </c>
      <c r="V215" s="5">
        <f>'📦 Subscriptions'!$L204</f>
        <v>0</v>
      </c>
      <c r="W215" s="6">
        <f>'📦 Subscriptions'!$M204</f>
        <v>0</v>
      </c>
      <c r="X215" s="84">
        <f>'📦 Subscriptions'!$N204</f>
        <v>0</v>
      </c>
      <c r="Y215" s="84" t="b">
        <f>IF($S215="","",AND('📦 Subscriptions'!$J204="Active",COUNTIFS('📦 Subscriptions'!$C$6:$C$205,$T215,'📦 Subscriptions'!$J$6:$J$205,"Active")&gt;1,$U215&gt;0))</f>
        <v>0</v>
      </c>
      <c r="Z215" s="84" t="b">
        <f>IF($S215="","",AND('📦 Subscriptions'!$J204="Active",OR('⚙️ Settings'!$C$7-$V215&gt;='⚙️ Settings'!$C$9,$W215&lt;'⚙️ Settings'!$C$10)))</f>
        <v>0</v>
      </c>
      <c r="AA215" s="84" t="b">
        <f>IF($S215="","",AND('📦 Subscriptions'!$J204="Active",OR($X215="Downgrade",$X215="Switch to Annual")))</f>
        <v>0</v>
      </c>
    </row>
    <row r="216" spans="19:27">
      <c r="S216" s="84">
        <f>'📦 Subscriptions'!$B205</f>
        <v>0</v>
      </c>
      <c r="T216" s="84">
        <f>'📦 Subscriptions'!$C205</f>
        <v>0</v>
      </c>
      <c r="U216" s="8" t="str">
        <f>'📦 Subscriptions'!$G205</f>
        <v/>
      </c>
      <c r="V216" s="5">
        <f>'📦 Subscriptions'!$L205</f>
        <v>0</v>
      </c>
      <c r="W216" s="6">
        <f>'📦 Subscriptions'!$M205</f>
        <v>0</v>
      </c>
      <c r="X216" s="84">
        <f>'📦 Subscriptions'!$N205</f>
        <v>0</v>
      </c>
      <c r="Y216" s="84" t="b">
        <f>IF($S216="","",AND('📦 Subscriptions'!$J205="Active",COUNTIFS('📦 Subscriptions'!$C$6:$C$205,$T216,'📦 Subscriptions'!$J$6:$J$205,"Active")&gt;1,$U216&gt;0))</f>
        <v>0</v>
      </c>
      <c r="Z216" s="84" t="b">
        <f>IF($S216="","",AND('📦 Subscriptions'!$J205="Active",OR('⚙️ Settings'!$C$7-$V216&gt;='⚙️ Settings'!$C$9,$W216&lt;'⚙️ Settings'!$C$10)))</f>
        <v>0</v>
      </c>
      <c r="AA216" s="84" t="b">
        <f>IF($S216="","",AND('📦 Subscriptions'!$J205="Active",OR($X216="Downgrade",$X216="Switch to Annual")))</f>
        <v>0</v>
      </c>
    </row>
  </sheetData>
  <mergeCells count="2">
    <mergeCell ref="B2:H2"/>
    <mergeCell ref="B3:H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K70"/>
  <sheetViews>
    <sheetView showGridLines="0" workbookViewId="0"/>
  </sheetViews>
  <sheetFormatPr defaultRowHeight="13.9"/>
  <cols>
    <col min="1" max="1" width="3" customWidth="1"/>
    <col min="2" max="2" width="23.75" customWidth="1"/>
    <col min="3" max="3" width="52.5" customWidth="1"/>
    <col min="4" max="4" width="4.5" customWidth="1"/>
    <col min="5" max="5" width="25" customWidth="1"/>
    <col min="6" max="6" width="40" customWidth="1"/>
  </cols>
  <sheetData>
    <row r="1" spans="1:37" ht="13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</row>
    <row r="2" spans="1:37" ht="25.5" customHeight="1">
      <c r="A2" s="1"/>
      <c r="B2" s="109" t="s">
        <v>260</v>
      </c>
      <c r="C2" s="109" t="s">
        <v>260</v>
      </c>
      <c r="D2" s="109" t="s">
        <v>260</v>
      </c>
      <c r="E2" s="109" t="s">
        <v>260</v>
      </c>
      <c r="F2" s="109" t="s">
        <v>260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</row>
    <row r="3" spans="1:37" ht="18" customHeight="1">
      <c r="A3" s="1"/>
      <c r="B3" s="110" t="s">
        <v>261</v>
      </c>
      <c r="C3" s="110" t="s">
        <v>261</v>
      </c>
      <c r="D3" s="110" t="s">
        <v>261</v>
      </c>
      <c r="E3" s="110" t="s">
        <v>261</v>
      </c>
      <c r="F3" s="110" t="s">
        <v>261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</row>
    <row r="4" spans="1:37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</row>
    <row r="5" spans="1:37" ht="21" customHeight="1">
      <c r="A5" s="1"/>
      <c r="B5" s="4" t="s">
        <v>262</v>
      </c>
      <c r="C5" s="4" t="s">
        <v>165</v>
      </c>
      <c r="D5" s="1"/>
      <c r="E5" s="4" t="s">
        <v>263</v>
      </c>
      <c r="F5" s="4" t="s">
        <v>62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</row>
    <row r="6" spans="1:37" ht="26.45">
      <c r="A6" s="1"/>
      <c r="B6" s="84" t="s">
        <v>128</v>
      </c>
      <c r="C6" s="84" t="s">
        <v>264</v>
      </c>
      <c r="D6" s="1"/>
      <c r="E6" s="84" t="s">
        <v>47</v>
      </c>
      <c r="F6" s="84" t="s">
        <v>265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</row>
    <row r="7" spans="1:37" ht="26.45">
      <c r="A7" s="1"/>
      <c r="B7" s="84" t="s">
        <v>266</v>
      </c>
      <c r="C7" s="84" t="s">
        <v>267</v>
      </c>
      <c r="D7" s="1"/>
      <c r="E7" s="84" t="s">
        <v>207</v>
      </c>
      <c r="F7" s="84" t="s">
        <v>268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</row>
    <row r="8" spans="1:37" ht="26.45">
      <c r="A8" s="1"/>
      <c r="B8" s="84" t="s">
        <v>130</v>
      </c>
      <c r="C8" s="84" t="s">
        <v>269</v>
      </c>
      <c r="D8" s="1"/>
      <c r="E8" s="84" t="s">
        <v>41</v>
      </c>
      <c r="F8" s="84" t="s">
        <v>270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 ht="26.45">
      <c r="A9" s="1"/>
      <c r="B9" s="84" t="s">
        <v>131</v>
      </c>
      <c r="C9" s="84" t="s">
        <v>271</v>
      </c>
      <c r="D9" s="1"/>
      <c r="E9" s="84" t="s">
        <v>173</v>
      </c>
      <c r="F9" s="84" t="s">
        <v>272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 ht="26.45">
      <c r="A10" s="1"/>
      <c r="B10" s="84" t="s">
        <v>132</v>
      </c>
      <c r="C10" s="84" t="s">
        <v>273</v>
      </c>
      <c r="D10" s="1"/>
      <c r="E10" s="84" t="s">
        <v>274</v>
      </c>
      <c r="F10" s="84" t="s">
        <v>275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26.45">
      <c r="A11" s="1"/>
      <c r="B11" s="84" t="s">
        <v>133</v>
      </c>
      <c r="C11" s="84" t="s">
        <v>276</v>
      </c>
      <c r="D11" s="1"/>
      <c r="E11" s="84"/>
      <c r="F11" s="84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>
      <c r="A12" s="1"/>
      <c r="B12" s="84"/>
      <c r="C12" s="84"/>
      <c r="D12" s="1"/>
      <c r="E12" s="84"/>
      <c r="F12" s="84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21" customHeight="1">
      <c r="A15" s="1"/>
      <c r="B15" s="111" t="s">
        <v>277</v>
      </c>
      <c r="C15" s="111" t="s">
        <v>277</v>
      </c>
      <c r="D15" s="111" t="s">
        <v>277</v>
      </c>
      <c r="E15" s="111" t="s">
        <v>277</v>
      </c>
      <c r="F15" s="111" t="s">
        <v>277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>
      <c r="A17" s="1"/>
      <c r="B17" s="120" t="s">
        <v>278</v>
      </c>
      <c r="C17" s="120"/>
      <c r="D17" s="120"/>
      <c r="E17" s="120"/>
      <c r="F17" s="120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>
      <c r="A18" s="1"/>
      <c r="B18" s="120" t="s">
        <v>279</v>
      </c>
      <c r="C18" s="120"/>
      <c r="D18" s="120"/>
      <c r="E18" s="120"/>
      <c r="F18" s="120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>
      <c r="A19" s="1"/>
      <c r="B19" s="120" t="s">
        <v>280</v>
      </c>
      <c r="C19" s="120"/>
      <c r="D19" s="120"/>
      <c r="E19" s="120"/>
      <c r="F19" s="120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>
      <c r="A20" s="1"/>
      <c r="B20" s="120"/>
      <c r="C20" s="120"/>
      <c r="D20" s="120"/>
      <c r="E20" s="120"/>
      <c r="F20" s="120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>
      <c r="A21" s="1"/>
      <c r="B21" s="120"/>
      <c r="C21" s="120"/>
      <c r="D21" s="120"/>
      <c r="E21" s="120"/>
      <c r="F21" s="120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1:37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1:37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1:37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1:37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1:3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1:37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spans="1:37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spans="1:37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spans="1:37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spans="1:37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spans="1:37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spans="1:37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spans="1:37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spans="1:37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spans="1:3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spans="1:37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spans="1:37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spans="1:37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</sheetData>
  <mergeCells count="8">
    <mergeCell ref="B19:F19"/>
    <mergeCell ref="B20:F20"/>
    <mergeCell ref="B21:F21"/>
    <mergeCell ref="B2:F2"/>
    <mergeCell ref="B3:F3"/>
    <mergeCell ref="B15:F15"/>
    <mergeCell ref="B17:F17"/>
    <mergeCell ref="B18:F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Guest User</cp:lastModifiedBy>
  <cp:revision/>
  <dcterms:created xsi:type="dcterms:W3CDTF">2026-05-27T08:01:54Z</dcterms:created>
  <dcterms:modified xsi:type="dcterms:W3CDTF">2026-05-27T08:01:54Z</dcterms:modified>
  <cp:category/>
  <cp:contentStatus/>
</cp:coreProperties>
</file>